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420" yWindow="1530" windowWidth="12120" windowHeight="6705" tabRatio="945" activeTab="2"/>
  </bookViews>
  <sheets>
    <sheet name="แบบประเมิน" sheetId="20" r:id="rId1"/>
    <sheet name="การคำนวณ" sheetId="19" r:id="rId2"/>
    <sheet name="1 ภาระงานสอน" sheetId="3" r:id="rId3"/>
    <sheet name="2 ภาระงานวิจัยและผลงานวิชาการ" sheetId="6" r:id="rId4"/>
    <sheet name="3 บริการวิชาการฯ" sheetId="7" r:id="rId5"/>
    <sheet name="4 ทำนุบำรุงศิลปะ" sheetId="8" r:id="rId6"/>
    <sheet name="ภาระงานบริหาร" sheetId="9" r:id="rId7"/>
    <sheet name="ภาระงานอื่น" sheetId="10" r:id="rId8"/>
    <sheet name="คำชี้แจง" sheetId="22" r:id="rId9"/>
    <sheet name="เกณฑ์สอน" sheetId="23" r:id="rId10"/>
    <sheet name="เกณฑ์วิจัย" sheetId="24" r:id="rId11"/>
    <sheet name="เกณฑ์บริการ" sheetId="25" r:id="rId12"/>
    <sheet name="เกณฑ์บริหาร" sheetId="17" r:id="rId13"/>
    <sheet name="Sheet1" sheetId="26" r:id="rId14"/>
  </sheets>
  <definedNames>
    <definedName name="_xlnm._FilterDatabase" localSheetId="3" hidden="1">'2 ภาระงานวิจัยและผลงานวิชาการ'!$A$4:$I$59</definedName>
    <definedName name="_xlnm.Print_Area" localSheetId="2">'1 ภาระงานสอน'!$A$1:$H$363</definedName>
    <definedName name="_xlnm.Print_Area" localSheetId="11">เกณฑ์บริการ!$A$1:$E$59</definedName>
    <definedName name="_xlnm.Print_Area" localSheetId="10">เกณฑ์วิจัย!$A$1:$E$79</definedName>
    <definedName name="_xlnm.Print_Area" localSheetId="0">แบบประเมิน!$A$1:$J$137</definedName>
    <definedName name="_xlnm.Print_Titles" localSheetId="11">เกณฑ์บริการ!$2:$2</definedName>
    <definedName name="_xlnm.Print_Titles" localSheetId="12">เกณฑ์บริหาร!$2:$2</definedName>
    <definedName name="_xlnm.Print_Titles" localSheetId="10">เกณฑ์วิจัย!$3:$4</definedName>
    <definedName name="_xlnm.Print_Titles" localSheetId="9">เกณฑ์สอน!$4:$5</definedName>
  </definedNames>
  <calcPr calcId="124519"/>
</workbook>
</file>

<file path=xl/calcChain.xml><?xml version="1.0" encoding="utf-8"?>
<calcChain xmlns="http://schemas.openxmlformats.org/spreadsheetml/2006/main">
  <c r="H85" i="20"/>
  <c r="G47" i="3"/>
  <c r="H47"/>
  <c r="F46"/>
  <c r="G46"/>
  <c r="H46" s="1"/>
  <c r="F45"/>
  <c r="G45"/>
  <c r="H45"/>
  <c r="G96" i="7"/>
  <c r="D19" i="25"/>
  <c r="W9" i="24"/>
  <c r="U9"/>
  <c r="R9"/>
  <c r="W8"/>
  <c r="U8"/>
  <c r="R8"/>
  <c r="W7"/>
  <c r="U7"/>
  <c r="R7"/>
  <c r="W6"/>
  <c r="U6"/>
  <c r="R6"/>
  <c r="W5"/>
  <c r="U5"/>
  <c r="R5"/>
  <c r="G104" i="7"/>
  <c r="H104" s="1"/>
  <c r="G105"/>
  <c r="G106"/>
  <c r="G107"/>
  <c r="G103"/>
  <c r="G108"/>
  <c r="G97"/>
  <c r="G98"/>
  <c r="G99"/>
  <c r="H99"/>
  <c r="G100"/>
  <c r="H100"/>
  <c r="D83" i="22"/>
  <c r="B83"/>
  <c r="D82"/>
  <c r="B82"/>
  <c r="D81"/>
  <c r="B81"/>
  <c r="D80"/>
  <c r="B80"/>
  <c r="D79"/>
  <c r="B79"/>
  <c r="D78"/>
  <c r="B78"/>
  <c r="F268" i="6"/>
  <c r="G268" s="1"/>
  <c r="F269"/>
  <c r="F270"/>
  <c r="G270" s="1"/>
  <c r="F271"/>
  <c r="F272"/>
  <c r="F267"/>
  <c r="F273"/>
  <c r="G267"/>
  <c r="G271"/>
  <c r="G269"/>
  <c r="G272"/>
  <c r="F168"/>
  <c r="G168" s="1"/>
  <c r="F167"/>
  <c r="G167" s="1"/>
  <c r="F166"/>
  <c r="G166" s="1"/>
  <c r="F165"/>
  <c r="G165" s="1"/>
  <c r="F164"/>
  <c r="G164" s="1"/>
  <c r="F163"/>
  <c r="G163" s="1"/>
  <c r="F162"/>
  <c r="G162" s="1"/>
  <c r="F161"/>
  <c r="G161" s="1"/>
  <c r="F160"/>
  <c r="G160" s="1"/>
  <c r="F159"/>
  <c r="F169" s="1"/>
  <c r="J63" i="19" s="1"/>
  <c r="F279" i="6"/>
  <c r="G279"/>
  <c r="F297"/>
  <c r="G297"/>
  <c r="F291"/>
  <c r="G291"/>
  <c r="F285"/>
  <c r="G285"/>
  <c r="F27" i="9"/>
  <c r="G27" s="1"/>
  <c r="D50" i="19" s="1"/>
  <c r="F26" i="9"/>
  <c r="C49" i="19"/>
  <c r="F24" i="9"/>
  <c r="C47" i="19"/>
  <c r="F23" i="9"/>
  <c r="C46" i="19"/>
  <c r="F21" i="9"/>
  <c r="C45" i="19"/>
  <c r="G313" i="3"/>
  <c r="H313" s="1"/>
  <c r="H86" i="20"/>
  <c r="H87"/>
  <c r="H84"/>
  <c r="H79"/>
  <c r="H80"/>
  <c r="H81"/>
  <c r="H82"/>
  <c r="H78"/>
  <c r="H72"/>
  <c r="H73"/>
  <c r="H74"/>
  <c r="H71"/>
  <c r="H70"/>
  <c r="D93"/>
  <c r="H93" s="1"/>
  <c r="J63"/>
  <c r="J58"/>
  <c r="F20" i="9"/>
  <c r="F47" i="8"/>
  <c r="F34"/>
  <c r="G34" s="1"/>
  <c r="F33"/>
  <c r="F21"/>
  <c r="F9"/>
  <c r="F48"/>
  <c r="F49"/>
  <c r="F50"/>
  <c r="G50"/>
  <c r="F51"/>
  <c r="F52"/>
  <c r="G52" s="1"/>
  <c r="F53"/>
  <c r="F54"/>
  <c r="G54"/>
  <c r="F55"/>
  <c r="F56"/>
  <c r="G56" s="1"/>
  <c r="G47"/>
  <c r="F83" i="3"/>
  <c r="F84"/>
  <c r="F85"/>
  <c r="F86"/>
  <c r="F82"/>
  <c r="F177"/>
  <c r="F178"/>
  <c r="F179"/>
  <c r="F180"/>
  <c r="F176"/>
  <c r="F19" i="9"/>
  <c r="G324" i="3"/>
  <c r="H324" s="1"/>
  <c r="G323"/>
  <c r="H323" s="1"/>
  <c r="G322"/>
  <c r="H322" s="1"/>
  <c r="G321"/>
  <c r="H321" s="1"/>
  <c r="G320"/>
  <c r="H320" s="1"/>
  <c r="F11" i="9"/>
  <c r="C37" i="19" s="1"/>
  <c r="F12" i="9"/>
  <c r="C38" i="19" s="1"/>
  <c r="F13" i="9"/>
  <c r="G13" s="1"/>
  <c r="D39" i="19"/>
  <c r="F10" i="9"/>
  <c r="G10"/>
  <c r="D36" i="19" s="1"/>
  <c r="F16" i="9"/>
  <c r="C41" i="19" s="1"/>
  <c r="F17" i="9"/>
  <c r="C42" i="19" s="1"/>
  <c r="F15" i="9"/>
  <c r="C40" i="19" s="1"/>
  <c r="F25" i="9"/>
  <c r="C48" i="19" s="1"/>
  <c r="E30" i="9"/>
  <c r="F30" s="1"/>
  <c r="H243" i="3"/>
  <c r="H244"/>
  <c r="G243"/>
  <c r="H240"/>
  <c r="G240"/>
  <c r="F64" i="10"/>
  <c r="F194" i="6"/>
  <c r="F195"/>
  <c r="G195"/>
  <c r="F196"/>
  <c r="F197"/>
  <c r="G197" s="1"/>
  <c r="F193"/>
  <c r="F174"/>
  <c r="H47"/>
  <c r="I47" s="1"/>
  <c r="F241"/>
  <c r="G241" s="1"/>
  <c r="F240"/>
  <c r="F237"/>
  <c r="G237"/>
  <c r="F236"/>
  <c r="F235"/>
  <c r="G235" s="1"/>
  <c r="F234"/>
  <c r="F233"/>
  <c r="F253"/>
  <c r="G253" s="1"/>
  <c r="F252"/>
  <c r="G252"/>
  <c r="F251"/>
  <c r="F280"/>
  <c r="G280" s="1"/>
  <c r="F313"/>
  <c r="H54"/>
  <c r="I54"/>
  <c r="G24"/>
  <c r="H24"/>
  <c r="I24" s="1"/>
  <c r="H274" i="3"/>
  <c r="G274" s="1"/>
  <c r="H266"/>
  <c r="G266" s="1"/>
  <c r="G265"/>
  <c r="G264"/>
  <c r="H264" s="1"/>
  <c r="G263"/>
  <c r="G231"/>
  <c r="G196"/>
  <c r="G187"/>
  <c r="G188"/>
  <c r="G189"/>
  <c r="F186"/>
  <c r="G186" s="1"/>
  <c r="H186" s="1"/>
  <c r="H190" s="1"/>
  <c r="H191" s="1"/>
  <c r="D63" i="19" s="1"/>
  <c r="F187" i="3"/>
  <c r="F188"/>
  <c r="F189"/>
  <c r="F185"/>
  <c r="G185" s="1"/>
  <c r="F91"/>
  <c r="G177"/>
  <c r="G178"/>
  <c r="H178" s="1"/>
  <c r="G179"/>
  <c r="G180"/>
  <c r="H180" s="1"/>
  <c r="G176"/>
  <c r="F168"/>
  <c r="G168"/>
  <c r="H168"/>
  <c r="F169"/>
  <c r="G169"/>
  <c r="H169" s="1"/>
  <c r="F167"/>
  <c r="G167"/>
  <c r="F73"/>
  <c r="F161"/>
  <c r="G161"/>
  <c r="H161" s="1"/>
  <c r="F162"/>
  <c r="G162"/>
  <c r="H162"/>
  <c r="F160"/>
  <c r="G160"/>
  <c r="F66"/>
  <c r="F154"/>
  <c r="G154"/>
  <c r="H154"/>
  <c r="F155"/>
  <c r="G155"/>
  <c r="H155" s="1"/>
  <c r="F153"/>
  <c r="G153"/>
  <c r="F59"/>
  <c r="F148"/>
  <c r="G148"/>
  <c r="F147"/>
  <c r="F146"/>
  <c r="G146"/>
  <c r="F52"/>
  <c r="F140"/>
  <c r="G140"/>
  <c r="H140" s="1"/>
  <c r="F141"/>
  <c r="G141"/>
  <c r="H141"/>
  <c r="F139"/>
  <c r="G139"/>
  <c r="F43"/>
  <c r="G43"/>
  <c r="F132"/>
  <c r="G134"/>
  <c r="G132"/>
  <c r="H132"/>
  <c r="F133"/>
  <c r="G133"/>
  <c r="H133" s="1"/>
  <c r="F134"/>
  <c r="F36"/>
  <c r="F127"/>
  <c r="G127"/>
  <c r="H127"/>
  <c r="F126"/>
  <c r="G126"/>
  <c r="H126" s="1"/>
  <c r="F125"/>
  <c r="G125"/>
  <c r="F29"/>
  <c r="G120"/>
  <c r="F117"/>
  <c r="G117" s="1"/>
  <c r="H117" s="1"/>
  <c r="F118"/>
  <c r="G118"/>
  <c r="H118" s="1"/>
  <c r="F119"/>
  <c r="G119"/>
  <c r="H119"/>
  <c r="F120"/>
  <c r="F116"/>
  <c r="G116" s="1"/>
  <c r="F22"/>
  <c r="G22"/>
  <c r="G104"/>
  <c r="H104" s="1"/>
  <c r="G106"/>
  <c r="G107"/>
  <c r="H107" s="1"/>
  <c r="G108"/>
  <c r="H108" s="1"/>
  <c r="G109"/>
  <c r="G110"/>
  <c r="H110" s="1"/>
  <c r="G111"/>
  <c r="F103"/>
  <c r="G103"/>
  <c r="H103"/>
  <c r="F104"/>
  <c r="F105"/>
  <c r="G105"/>
  <c r="H105"/>
  <c r="F106"/>
  <c r="F107"/>
  <c r="F108"/>
  <c r="F109"/>
  <c r="F110"/>
  <c r="F111"/>
  <c r="F102"/>
  <c r="G102" s="1"/>
  <c r="G91"/>
  <c r="F10"/>
  <c r="G10"/>
  <c r="G85"/>
  <c r="G86"/>
  <c r="H86" s="1"/>
  <c r="G83"/>
  <c r="H83" s="1"/>
  <c r="F92"/>
  <c r="G92"/>
  <c r="F93"/>
  <c r="G93"/>
  <c r="H93" s="1"/>
  <c r="F94"/>
  <c r="G94"/>
  <c r="H94"/>
  <c r="F95"/>
  <c r="G95"/>
  <c r="H95" s="1"/>
  <c r="G82"/>
  <c r="G84"/>
  <c r="H84"/>
  <c r="F75"/>
  <c r="F74"/>
  <c r="F60"/>
  <c r="F61"/>
  <c r="G61"/>
  <c r="F67"/>
  <c r="F68"/>
  <c r="F53"/>
  <c r="F54"/>
  <c r="F44"/>
  <c r="G44"/>
  <c r="H44"/>
  <c r="F47"/>
  <c r="F37"/>
  <c r="F38"/>
  <c r="G38"/>
  <c r="F31"/>
  <c r="F30"/>
  <c r="G31"/>
  <c r="H31"/>
  <c r="F23"/>
  <c r="F24"/>
  <c r="G24"/>
  <c r="H24"/>
  <c r="F11"/>
  <c r="G11"/>
  <c r="H11" s="1"/>
  <c r="F12"/>
  <c r="F13"/>
  <c r="F14"/>
  <c r="F15"/>
  <c r="F16"/>
  <c r="F17"/>
  <c r="G74"/>
  <c r="G75"/>
  <c r="G73"/>
  <c r="G76"/>
  <c r="G67"/>
  <c r="H67"/>
  <c r="G68"/>
  <c r="H68"/>
  <c r="G66"/>
  <c r="H66"/>
  <c r="G60"/>
  <c r="G59"/>
  <c r="G53"/>
  <c r="G54"/>
  <c r="H54" s="1"/>
  <c r="G52"/>
  <c r="G37"/>
  <c r="G36"/>
  <c r="H36" s="1"/>
  <c r="G30"/>
  <c r="H30" s="1"/>
  <c r="G29"/>
  <c r="G32"/>
  <c r="G23"/>
  <c r="H23"/>
  <c r="G12"/>
  <c r="H12"/>
  <c r="G14"/>
  <c r="G15"/>
  <c r="H15" s="1"/>
  <c r="G16"/>
  <c r="H16"/>
  <c r="G17"/>
  <c r="H17"/>
  <c r="H282"/>
  <c r="H285"/>
  <c r="G285" s="1"/>
  <c r="H304"/>
  <c r="G304" s="1"/>
  <c r="H305"/>
  <c r="G305" s="1"/>
  <c r="H302"/>
  <c r="G302" s="1"/>
  <c r="H294"/>
  <c r="H295"/>
  <c r="G295"/>
  <c r="H292"/>
  <c r="G292"/>
  <c r="H293"/>
  <c r="G293"/>
  <c r="G55" i="8"/>
  <c r="G53"/>
  <c r="G51"/>
  <c r="G49"/>
  <c r="G13" i="3"/>
  <c r="H13"/>
  <c r="G341"/>
  <c r="H341"/>
  <c r="G273"/>
  <c r="G255"/>
  <c r="H255" s="1"/>
  <c r="H246"/>
  <c r="G246" s="1"/>
  <c r="G196" i="6"/>
  <c r="G29"/>
  <c r="H29"/>
  <c r="G30"/>
  <c r="H30"/>
  <c r="I30" s="1"/>
  <c r="G31"/>
  <c r="H31" s="1"/>
  <c r="I31" s="1"/>
  <c r="I39" s="1"/>
  <c r="G32"/>
  <c r="H32"/>
  <c r="I32" s="1"/>
  <c r="G33"/>
  <c r="H33" s="1"/>
  <c r="G34"/>
  <c r="H34" s="1"/>
  <c r="I34"/>
  <c r="G35"/>
  <c r="H35"/>
  <c r="I35" s="1"/>
  <c r="G36"/>
  <c r="H36" s="1"/>
  <c r="I36"/>
  <c r="G37"/>
  <c r="H37"/>
  <c r="I37" s="1"/>
  <c r="G38"/>
  <c r="H38" s="1"/>
  <c r="I38"/>
  <c r="G10"/>
  <c r="H10"/>
  <c r="G11"/>
  <c r="H11"/>
  <c r="I11" s="1"/>
  <c r="G12"/>
  <c r="H12" s="1"/>
  <c r="I12"/>
  <c r="G13"/>
  <c r="H13"/>
  <c r="I13" s="1"/>
  <c r="G14"/>
  <c r="H14" s="1"/>
  <c r="I14"/>
  <c r="G15"/>
  <c r="H15"/>
  <c r="I15" s="1"/>
  <c r="G16"/>
  <c r="H16" s="1"/>
  <c r="I16"/>
  <c r="G17"/>
  <c r="H17"/>
  <c r="I17" s="1"/>
  <c r="G18"/>
  <c r="H18" s="1"/>
  <c r="I18"/>
  <c r="G19"/>
  <c r="H19"/>
  <c r="I19" s="1"/>
  <c r="G20"/>
  <c r="H20" s="1"/>
  <c r="I20"/>
  <c r="G21"/>
  <c r="H21"/>
  <c r="I21" s="1"/>
  <c r="G22"/>
  <c r="H22" s="1"/>
  <c r="I22"/>
  <c r="G23"/>
  <c r="H23"/>
  <c r="I23" s="1"/>
  <c r="H43"/>
  <c r="H44"/>
  <c r="I44" s="1"/>
  <c r="H45"/>
  <c r="I45" s="1"/>
  <c r="H46"/>
  <c r="I46" s="1"/>
  <c r="H55"/>
  <c r="H56"/>
  <c r="I56" s="1"/>
  <c r="H57"/>
  <c r="I57" s="1"/>
  <c r="H58"/>
  <c r="I58" s="1"/>
  <c r="F68"/>
  <c r="G68" s="1"/>
  <c r="F69"/>
  <c r="G69" s="1"/>
  <c r="F70"/>
  <c r="G70" s="1"/>
  <c r="F71"/>
  <c r="G71" s="1"/>
  <c r="F72"/>
  <c r="G72" s="1"/>
  <c r="F75"/>
  <c r="G75" s="1"/>
  <c r="F76"/>
  <c r="G76" s="1"/>
  <c r="F77"/>
  <c r="G77" s="1"/>
  <c r="F78"/>
  <c r="G78"/>
  <c r="G80" s="1"/>
  <c r="F79"/>
  <c r="G79"/>
  <c r="F88"/>
  <c r="G88"/>
  <c r="G93" s="1"/>
  <c r="F89"/>
  <c r="G89"/>
  <c r="F90"/>
  <c r="G90" s="1"/>
  <c r="F91"/>
  <c r="G91"/>
  <c r="F92"/>
  <c r="G92"/>
  <c r="F95"/>
  <c r="F96"/>
  <c r="F97"/>
  <c r="G97"/>
  <c r="F98"/>
  <c r="G98"/>
  <c r="F99"/>
  <c r="G99"/>
  <c r="F103"/>
  <c r="G103"/>
  <c r="F104"/>
  <c r="G104" s="1"/>
  <c r="F105"/>
  <c r="G105" s="1"/>
  <c r="F106"/>
  <c r="G106" s="1"/>
  <c r="F107"/>
  <c r="G107" s="1"/>
  <c r="F110"/>
  <c r="G110" s="1"/>
  <c r="G115" s="1"/>
  <c r="F111"/>
  <c r="G111"/>
  <c r="F112"/>
  <c r="G112"/>
  <c r="F113"/>
  <c r="G113"/>
  <c r="F114"/>
  <c r="G114"/>
  <c r="F122"/>
  <c r="F123"/>
  <c r="G123" s="1"/>
  <c r="F124"/>
  <c r="G124" s="1"/>
  <c r="F125"/>
  <c r="G125" s="1"/>
  <c r="F126"/>
  <c r="G126" s="1"/>
  <c r="F129"/>
  <c r="G129" s="1"/>
  <c r="F130"/>
  <c r="G130" s="1"/>
  <c r="F131"/>
  <c r="G131" s="1"/>
  <c r="F132"/>
  <c r="G132" s="1"/>
  <c r="F133"/>
  <c r="G133" s="1"/>
  <c r="F141"/>
  <c r="F142"/>
  <c r="F143"/>
  <c r="G143" s="1"/>
  <c r="F144"/>
  <c r="F145"/>
  <c r="G145"/>
  <c r="F148"/>
  <c r="F149"/>
  <c r="G149" s="1"/>
  <c r="F150"/>
  <c r="G150" s="1"/>
  <c r="F151"/>
  <c r="G151" s="1"/>
  <c r="F152"/>
  <c r="G152" s="1"/>
  <c r="F175"/>
  <c r="G175" s="1"/>
  <c r="F176"/>
  <c r="G176" s="1"/>
  <c r="F177"/>
  <c r="G177" s="1"/>
  <c r="F178"/>
  <c r="G178" s="1"/>
  <c r="F184"/>
  <c r="F185"/>
  <c r="G185"/>
  <c r="F186"/>
  <c r="G186"/>
  <c r="F187"/>
  <c r="G187"/>
  <c r="F188"/>
  <c r="G188"/>
  <c r="F203"/>
  <c r="F204"/>
  <c r="G204" s="1"/>
  <c r="F205"/>
  <c r="F206"/>
  <c r="G206"/>
  <c r="F207"/>
  <c r="G207"/>
  <c r="F208"/>
  <c r="G208"/>
  <c r="F209"/>
  <c r="G209"/>
  <c r="F210"/>
  <c r="G210"/>
  <c r="F216"/>
  <c r="G216"/>
  <c r="F217"/>
  <c r="G217"/>
  <c r="F218"/>
  <c r="F219"/>
  <c r="G219" s="1"/>
  <c r="F220"/>
  <c r="G220" s="1"/>
  <c r="F221"/>
  <c r="G221" s="1"/>
  <c r="F222"/>
  <c r="G222" s="1"/>
  <c r="F223"/>
  <c r="G223" s="1"/>
  <c r="F224"/>
  <c r="G224" s="1"/>
  <c r="F225"/>
  <c r="G225" s="1"/>
  <c r="G236"/>
  <c r="F242"/>
  <c r="F245"/>
  <c r="F243"/>
  <c r="G243"/>
  <c r="F244"/>
  <c r="G244"/>
  <c r="F258"/>
  <c r="G258"/>
  <c r="F259"/>
  <c r="G259"/>
  <c r="F260"/>
  <c r="G260"/>
  <c r="F261"/>
  <c r="G261" s="1"/>
  <c r="F262"/>
  <c r="G262"/>
  <c r="G263" s="1"/>
  <c r="F254"/>
  <c r="G254" s="1"/>
  <c r="F255"/>
  <c r="G255" s="1"/>
  <c r="G313"/>
  <c r="F314"/>
  <c r="F315"/>
  <c r="G315" s="1"/>
  <c r="F316"/>
  <c r="G316" s="1"/>
  <c r="F317"/>
  <c r="G317" s="1"/>
  <c r="F281"/>
  <c r="G281" s="1"/>
  <c r="F282"/>
  <c r="G282" s="1"/>
  <c r="F283"/>
  <c r="G283" s="1"/>
  <c r="F284"/>
  <c r="G284" s="1"/>
  <c r="F286"/>
  <c r="G286" s="1"/>
  <c r="F287"/>
  <c r="G287" s="1"/>
  <c r="F288"/>
  <c r="G288" s="1"/>
  <c r="F289"/>
  <c r="G289" s="1"/>
  <c r="F290"/>
  <c r="G290" s="1"/>
  <c r="F292"/>
  <c r="G292" s="1"/>
  <c r="F293"/>
  <c r="G293" s="1"/>
  <c r="F294"/>
  <c r="G294" s="1"/>
  <c r="F295"/>
  <c r="G295" s="1"/>
  <c r="F296"/>
  <c r="G296" s="1"/>
  <c r="F298"/>
  <c r="G298" s="1"/>
  <c r="F299"/>
  <c r="G299" s="1"/>
  <c r="F300"/>
  <c r="G300" s="1"/>
  <c r="F301"/>
  <c r="G301" s="1"/>
  <c r="F302"/>
  <c r="G302" s="1"/>
  <c r="F303"/>
  <c r="G303" s="1"/>
  <c r="F304"/>
  <c r="G304" s="1"/>
  <c r="F305"/>
  <c r="G305" s="1"/>
  <c r="F306"/>
  <c r="G306" s="1"/>
  <c r="F307"/>
  <c r="G307" s="1"/>
  <c r="G64" i="10"/>
  <c r="I32" i="19"/>
  <c r="J46" i="20"/>
  <c r="J47"/>
  <c r="J48"/>
  <c r="J49"/>
  <c r="J45"/>
  <c r="F378" i="7"/>
  <c r="F379"/>
  <c r="G379"/>
  <c r="H379"/>
  <c r="F380"/>
  <c r="F381"/>
  <c r="G381"/>
  <c r="H381"/>
  <c r="F377"/>
  <c r="F371"/>
  <c r="F372"/>
  <c r="G372"/>
  <c r="F373"/>
  <c r="F374"/>
  <c r="G374"/>
  <c r="H374"/>
  <c r="F370"/>
  <c r="F84" i="10"/>
  <c r="G84" s="1"/>
  <c r="F85"/>
  <c r="F86"/>
  <c r="G86"/>
  <c r="F87"/>
  <c r="F83"/>
  <c r="G241" i="7"/>
  <c r="G242"/>
  <c r="G243"/>
  <c r="G244"/>
  <c r="G240"/>
  <c r="G228"/>
  <c r="G229"/>
  <c r="G230"/>
  <c r="G231"/>
  <c r="G227"/>
  <c r="H227" s="1"/>
  <c r="G221"/>
  <c r="G222"/>
  <c r="H222" s="1"/>
  <c r="G223"/>
  <c r="G224"/>
  <c r="H224" s="1"/>
  <c r="G220"/>
  <c r="H220"/>
  <c r="G198"/>
  <c r="G199"/>
  <c r="G200"/>
  <c r="G201"/>
  <c r="G197"/>
  <c r="G186"/>
  <c r="H186" s="1"/>
  <c r="G187"/>
  <c r="H187" s="1"/>
  <c r="G188"/>
  <c r="G189"/>
  <c r="H189" s="1"/>
  <c r="G185"/>
  <c r="G147"/>
  <c r="G148"/>
  <c r="G149"/>
  <c r="G150"/>
  <c r="G146"/>
  <c r="G135"/>
  <c r="H135"/>
  <c r="G136"/>
  <c r="G137"/>
  <c r="G138"/>
  <c r="G134"/>
  <c r="G122"/>
  <c r="G123"/>
  <c r="G124"/>
  <c r="G125"/>
  <c r="G121"/>
  <c r="H121"/>
  <c r="G115"/>
  <c r="G116"/>
  <c r="G117"/>
  <c r="G118"/>
  <c r="G114"/>
  <c r="H106"/>
  <c r="H97"/>
  <c r="H98"/>
  <c r="G84"/>
  <c r="G85"/>
  <c r="G86"/>
  <c r="G87"/>
  <c r="G83"/>
  <c r="G7"/>
  <c r="H7" s="1"/>
  <c r="G49"/>
  <c r="H49" s="1"/>
  <c r="F22" i="8"/>
  <c r="F42"/>
  <c r="G42"/>
  <c r="G409" i="7"/>
  <c r="H409"/>
  <c r="G398"/>
  <c r="G387"/>
  <c r="H387" s="1"/>
  <c r="G386"/>
  <c r="H386" s="1"/>
  <c r="G380"/>
  <c r="H380" s="1"/>
  <c r="G378"/>
  <c r="G377"/>
  <c r="H377" s="1"/>
  <c r="G370"/>
  <c r="G357"/>
  <c r="H357"/>
  <c r="G373"/>
  <c r="H373"/>
  <c r="G371"/>
  <c r="H371"/>
  <c r="G347"/>
  <c r="G346"/>
  <c r="G315"/>
  <c r="G327"/>
  <c r="G298"/>
  <c r="H298"/>
  <c r="G292"/>
  <c r="H292"/>
  <c r="G291"/>
  <c r="H291"/>
  <c r="G277"/>
  <c r="H277"/>
  <c r="G260"/>
  <c r="H260"/>
  <c r="G255"/>
  <c r="H255"/>
  <c r="G254"/>
  <c r="H254"/>
  <c r="G253"/>
  <c r="H240"/>
  <c r="G158"/>
  <c r="H158"/>
  <c r="G71"/>
  <c r="G254" i="3"/>
  <c r="G348"/>
  <c r="G340"/>
  <c r="H340" s="1"/>
  <c r="G334"/>
  <c r="H334" s="1"/>
  <c r="H335"/>
  <c r="H283"/>
  <c r="G283"/>
  <c r="H247"/>
  <c r="G247"/>
  <c r="G226"/>
  <c r="H226"/>
  <c r="G15" i="10"/>
  <c r="C46" i="20" s="1"/>
  <c r="F35" i="8"/>
  <c r="G35" s="1"/>
  <c r="F36"/>
  <c r="G36"/>
  <c r="F37"/>
  <c r="F38"/>
  <c r="G38" s="1"/>
  <c r="F39"/>
  <c r="G39" s="1"/>
  <c r="F40"/>
  <c r="G40" s="1"/>
  <c r="F41"/>
  <c r="G41" s="1"/>
  <c r="G37"/>
  <c r="G33"/>
  <c r="G390" i="7"/>
  <c r="H390"/>
  <c r="G389"/>
  <c r="H389"/>
  <c r="G388"/>
  <c r="H388"/>
  <c r="G361"/>
  <c r="H361"/>
  <c r="G360"/>
  <c r="H360"/>
  <c r="G359"/>
  <c r="H359"/>
  <c r="G358"/>
  <c r="H358"/>
  <c r="G358" i="3"/>
  <c r="H358"/>
  <c r="G359"/>
  <c r="H359"/>
  <c r="G360"/>
  <c r="H360"/>
  <c r="G361"/>
  <c r="H361"/>
  <c r="G357"/>
  <c r="G362"/>
  <c r="H357"/>
  <c r="H265"/>
  <c r="G352"/>
  <c r="H352"/>
  <c r="G351"/>
  <c r="H351"/>
  <c r="G350"/>
  <c r="H350"/>
  <c r="G349"/>
  <c r="H349"/>
  <c r="H273"/>
  <c r="H275"/>
  <c r="D73" i="19" s="1"/>
  <c r="H242" i="3"/>
  <c r="H241"/>
  <c r="G242"/>
  <c r="G241"/>
  <c r="H245"/>
  <c r="G245" s="1"/>
  <c r="G244"/>
  <c r="G312"/>
  <c r="G314"/>
  <c r="C77" i="19" s="1"/>
  <c r="H307" i="3"/>
  <c r="G307" s="1"/>
  <c r="H306"/>
  <c r="G306" s="1"/>
  <c r="H303"/>
  <c r="G303" s="1"/>
  <c r="H187"/>
  <c r="H189"/>
  <c r="H177"/>
  <c r="H59"/>
  <c r="G147"/>
  <c r="H134"/>
  <c r="H120"/>
  <c r="H106"/>
  <c r="H109"/>
  <c r="H111"/>
  <c r="H85"/>
  <c r="H74"/>
  <c r="H53"/>
  <c r="G256"/>
  <c r="H256"/>
  <c r="H297"/>
  <c r="G297"/>
  <c r="H296"/>
  <c r="G296"/>
  <c r="H287"/>
  <c r="G287"/>
  <c r="H286"/>
  <c r="H284"/>
  <c r="G53" i="7"/>
  <c r="H53"/>
  <c r="G52"/>
  <c r="H52"/>
  <c r="G51"/>
  <c r="H51"/>
  <c r="G50"/>
  <c r="H50"/>
  <c r="F53" i="10"/>
  <c r="G53" s="1"/>
  <c r="F52"/>
  <c r="G52" s="1"/>
  <c r="F51"/>
  <c r="G51" s="1"/>
  <c r="F50"/>
  <c r="G50" s="1"/>
  <c r="F49"/>
  <c r="G49" s="1"/>
  <c r="F71"/>
  <c r="F72"/>
  <c r="G72"/>
  <c r="F41"/>
  <c r="G41"/>
  <c r="F40"/>
  <c r="G40"/>
  <c r="F39"/>
  <c r="G39"/>
  <c r="F38"/>
  <c r="G38"/>
  <c r="F37"/>
  <c r="G37"/>
  <c r="F36"/>
  <c r="G36"/>
  <c r="F35"/>
  <c r="G35"/>
  <c r="F34"/>
  <c r="G34"/>
  <c r="F33"/>
  <c r="G33"/>
  <c r="F32"/>
  <c r="G32"/>
  <c r="F31"/>
  <c r="G31"/>
  <c r="F30"/>
  <c r="G30"/>
  <c r="F29"/>
  <c r="G29"/>
  <c r="F28"/>
  <c r="G28"/>
  <c r="F27"/>
  <c r="G27"/>
  <c r="H107" i="7"/>
  <c r="H105"/>
  <c r="H96"/>
  <c r="F44" i="10"/>
  <c r="F48"/>
  <c r="G48"/>
  <c r="F45"/>
  <c r="G45"/>
  <c r="F46"/>
  <c r="G46"/>
  <c r="F47"/>
  <c r="G47"/>
  <c r="F23"/>
  <c r="G23"/>
  <c r="F24"/>
  <c r="G24"/>
  <c r="F25"/>
  <c r="G25"/>
  <c r="F26"/>
  <c r="G26"/>
  <c r="F22"/>
  <c r="F7"/>
  <c r="G309" i="7"/>
  <c r="H309"/>
  <c r="G310"/>
  <c r="H310"/>
  <c r="G311"/>
  <c r="H311"/>
  <c r="G312"/>
  <c r="H312"/>
  <c r="G308"/>
  <c r="G313"/>
  <c r="G293"/>
  <c r="H293"/>
  <c r="G294"/>
  <c r="H294"/>
  <c r="G295"/>
  <c r="H295"/>
  <c r="G270"/>
  <c r="H270"/>
  <c r="G256"/>
  <c r="H256"/>
  <c r="G257"/>
  <c r="H257"/>
  <c r="G271"/>
  <c r="H271"/>
  <c r="G272"/>
  <c r="H272"/>
  <c r="G273"/>
  <c r="H273"/>
  <c r="G274"/>
  <c r="H274"/>
  <c r="G87" i="10"/>
  <c r="F65"/>
  <c r="G65" s="1"/>
  <c r="F66"/>
  <c r="G66" s="1"/>
  <c r="F67"/>
  <c r="G67" s="1"/>
  <c r="F68"/>
  <c r="G68" s="1"/>
  <c r="F73"/>
  <c r="G73" s="1"/>
  <c r="F74"/>
  <c r="G74" s="1"/>
  <c r="F75"/>
  <c r="G75" s="1"/>
  <c r="G85"/>
  <c r="F8"/>
  <c r="G8"/>
  <c r="C43" i="19"/>
  <c r="C39"/>
  <c r="F10" i="8"/>
  <c r="G10"/>
  <c r="F11"/>
  <c r="F12"/>
  <c r="G12" s="1"/>
  <c r="F13"/>
  <c r="G13" s="1"/>
  <c r="F14"/>
  <c r="G14" s="1"/>
  <c r="F15"/>
  <c r="G15" s="1"/>
  <c r="F16"/>
  <c r="G16" s="1"/>
  <c r="F17"/>
  <c r="G17" s="1"/>
  <c r="F18"/>
  <c r="G18" s="1"/>
  <c r="G9"/>
  <c r="F23"/>
  <c r="G23"/>
  <c r="F24"/>
  <c r="G24"/>
  <c r="F25"/>
  <c r="G25"/>
  <c r="F26"/>
  <c r="G26"/>
  <c r="F27"/>
  <c r="G27"/>
  <c r="F28"/>
  <c r="G28"/>
  <c r="F29"/>
  <c r="G29"/>
  <c r="F30"/>
  <c r="G30"/>
  <c r="G21"/>
  <c r="G22"/>
  <c r="G11"/>
  <c r="G420" i="7"/>
  <c r="H420" s="1"/>
  <c r="G421"/>
  <c r="H421" s="1"/>
  <c r="G422"/>
  <c r="H422" s="1"/>
  <c r="G423"/>
  <c r="H423" s="1"/>
  <c r="G424"/>
  <c r="H424" s="1"/>
  <c r="G410"/>
  <c r="H410" s="1"/>
  <c r="G411"/>
  <c r="H411" s="1"/>
  <c r="G412"/>
  <c r="H412" s="1"/>
  <c r="G413"/>
  <c r="H413" s="1"/>
  <c r="H398"/>
  <c r="G399"/>
  <c r="H399"/>
  <c r="G400"/>
  <c r="H400"/>
  <c r="G401"/>
  <c r="H401"/>
  <c r="G402"/>
  <c r="H402"/>
  <c r="H378"/>
  <c r="H382"/>
  <c r="H346"/>
  <c r="H347"/>
  <c r="G348"/>
  <c r="H348" s="1"/>
  <c r="G349"/>
  <c r="H349" s="1"/>
  <c r="G350"/>
  <c r="H350" s="1"/>
  <c r="H327"/>
  <c r="G328"/>
  <c r="G336"/>
  <c r="H336" s="1"/>
  <c r="G337"/>
  <c r="H337" s="1"/>
  <c r="G338"/>
  <c r="H338" s="1"/>
  <c r="G339"/>
  <c r="H339" s="1"/>
  <c r="G335"/>
  <c r="H335" s="1"/>
  <c r="H315"/>
  <c r="G316"/>
  <c r="H316"/>
  <c r="G317"/>
  <c r="H317"/>
  <c r="G318"/>
  <c r="H318"/>
  <c r="G319"/>
  <c r="H319"/>
  <c r="G299"/>
  <c r="H299"/>
  <c r="G300"/>
  <c r="H300"/>
  <c r="G301"/>
  <c r="H301"/>
  <c r="G302"/>
  <c r="H302"/>
  <c r="G278"/>
  <c r="H278"/>
  <c r="G279"/>
  <c r="H279"/>
  <c r="G280"/>
  <c r="H280"/>
  <c r="G281"/>
  <c r="H281"/>
  <c r="G261"/>
  <c r="H261"/>
  <c r="G262"/>
  <c r="H262"/>
  <c r="G263"/>
  <c r="H263"/>
  <c r="G264"/>
  <c r="H264"/>
  <c r="H241"/>
  <c r="H242"/>
  <c r="H243"/>
  <c r="H244"/>
  <c r="H228"/>
  <c r="H229"/>
  <c r="H230"/>
  <c r="H231"/>
  <c r="G61"/>
  <c r="H61" s="1"/>
  <c r="G62"/>
  <c r="H62" s="1"/>
  <c r="G63"/>
  <c r="H63" s="1"/>
  <c r="G64"/>
  <c r="H64" s="1"/>
  <c r="G60"/>
  <c r="G72"/>
  <c r="H72"/>
  <c r="G73"/>
  <c r="H73"/>
  <c r="G74"/>
  <c r="H74"/>
  <c r="G75"/>
  <c r="H75"/>
  <c r="H84"/>
  <c r="H85"/>
  <c r="H86"/>
  <c r="H87"/>
  <c r="H115"/>
  <c r="H116"/>
  <c r="H117"/>
  <c r="H118"/>
  <c r="H122"/>
  <c r="H123"/>
  <c r="H124"/>
  <c r="H125"/>
  <c r="H136"/>
  <c r="H137"/>
  <c r="H138"/>
  <c r="H134"/>
  <c r="G173"/>
  <c r="H173"/>
  <c r="G174"/>
  <c r="H174"/>
  <c r="G175"/>
  <c r="H175"/>
  <c r="G176"/>
  <c r="H176"/>
  <c r="G172"/>
  <c r="G166"/>
  <c r="H166" s="1"/>
  <c r="G167"/>
  <c r="H167" s="1"/>
  <c r="G168"/>
  <c r="H168" s="1"/>
  <c r="G169"/>
  <c r="H169" s="1"/>
  <c r="G165"/>
  <c r="H165" s="1"/>
  <c r="G159"/>
  <c r="H159" s="1"/>
  <c r="G160"/>
  <c r="H160" s="1"/>
  <c r="G161"/>
  <c r="H161" s="1"/>
  <c r="G162"/>
  <c r="H162" s="1"/>
  <c r="H147"/>
  <c r="H148"/>
  <c r="H149"/>
  <c r="H150"/>
  <c r="H146"/>
  <c r="H188"/>
  <c r="H185"/>
  <c r="H198"/>
  <c r="H199"/>
  <c r="H200"/>
  <c r="H201"/>
  <c r="H197"/>
  <c r="H221"/>
  <c r="H223"/>
  <c r="G209"/>
  <c r="H209" s="1"/>
  <c r="G210"/>
  <c r="H210" s="1"/>
  <c r="G211"/>
  <c r="H211" s="1"/>
  <c r="G212"/>
  <c r="H212" s="1"/>
  <c r="G208"/>
  <c r="H208" s="1"/>
  <c r="G31"/>
  <c r="H31" s="1"/>
  <c r="G32"/>
  <c r="H32" s="1"/>
  <c r="G33"/>
  <c r="H33" s="1"/>
  <c r="G34"/>
  <c r="H34" s="1"/>
  <c r="G30"/>
  <c r="H30" s="1"/>
  <c r="H35" s="1"/>
  <c r="G38"/>
  <c r="H38" s="1"/>
  <c r="G39"/>
  <c r="H39" s="1"/>
  <c r="G40"/>
  <c r="H40" s="1"/>
  <c r="G41"/>
  <c r="H41" s="1"/>
  <c r="G37"/>
  <c r="H37" s="1"/>
  <c r="G19"/>
  <c r="H19" s="1"/>
  <c r="G20"/>
  <c r="H20" s="1"/>
  <c r="G21"/>
  <c r="H21" s="1"/>
  <c r="G22"/>
  <c r="H22" s="1"/>
  <c r="G18"/>
  <c r="H18" s="1"/>
  <c r="H23" s="1"/>
  <c r="D85" i="19" s="1"/>
  <c r="G8" i="7"/>
  <c r="H8" s="1"/>
  <c r="G9"/>
  <c r="H9" s="1"/>
  <c r="G10"/>
  <c r="H10" s="1"/>
  <c r="G11"/>
  <c r="H11" s="1"/>
  <c r="G342" i="3"/>
  <c r="H342" s="1"/>
  <c r="H343" s="1"/>
  <c r="H363" s="1"/>
  <c r="D79" i="19" s="1"/>
  <c r="H231" i="3"/>
  <c r="H234" s="1"/>
  <c r="D69" i="19" s="1"/>
  <c r="G232" i="3"/>
  <c r="H232"/>
  <c r="G233"/>
  <c r="H233"/>
  <c r="G225"/>
  <c r="H225"/>
  <c r="G224"/>
  <c r="H224"/>
  <c r="G217"/>
  <c r="H217"/>
  <c r="G218"/>
  <c r="H218"/>
  <c r="G219"/>
  <c r="H219"/>
  <c r="G209"/>
  <c r="H209"/>
  <c r="H212" s="1"/>
  <c r="G204"/>
  <c r="H204" s="1"/>
  <c r="G205"/>
  <c r="H205" s="1"/>
  <c r="G206"/>
  <c r="H206" s="1"/>
  <c r="G210"/>
  <c r="G211"/>
  <c r="H211"/>
  <c r="G197"/>
  <c r="H197"/>
  <c r="G198"/>
  <c r="H198" s="1"/>
  <c r="G22" i="10"/>
  <c r="G44"/>
  <c r="G391" i="7"/>
  <c r="G362"/>
  <c r="C105" i="19"/>
  <c r="G351" i="7"/>
  <c r="C104" i="19"/>
  <c r="G303" i="7"/>
  <c r="G282"/>
  <c r="G265"/>
  <c r="G245"/>
  <c r="C99" i="19" s="1"/>
  <c r="G225" i="7"/>
  <c r="G202"/>
  <c r="C96" i="19"/>
  <c r="G190" i="7"/>
  <c r="C95" i="19"/>
  <c r="H151" i="7"/>
  <c r="D93" i="19"/>
  <c r="G151" i="7"/>
  <c r="C93" i="19"/>
  <c r="G139" i="7"/>
  <c r="C92" i="19"/>
  <c r="G126" i="7"/>
  <c r="G88"/>
  <c r="C90" i="19" s="1"/>
  <c r="G76" i="7"/>
  <c r="C89" i="19" s="1"/>
  <c r="H71" i="7"/>
  <c r="G275"/>
  <c r="G296"/>
  <c r="G340"/>
  <c r="C103" i="19"/>
  <c r="H83" i="7"/>
  <c r="H88"/>
  <c r="D90" i="19" s="1"/>
  <c r="G119" i="7"/>
  <c r="G232"/>
  <c r="H114"/>
  <c r="H253"/>
  <c r="G284" i="3"/>
  <c r="H73"/>
  <c r="H29"/>
  <c r="H32" s="1"/>
  <c r="H119" i="7"/>
  <c r="G11" i="9"/>
  <c r="D37" i="19"/>
  <c r="H370" i="7"/>
  <c r="H146" i="3"/>
  <c r="H196"/>
  <c r="H199" s="1"/>
  <c r="H200" s="1"/>
  <c r="D65" i="19" s="1"/>
  <c r="H348" i="3"/>
  <c r="G353"/>
  <c r="H210"/>
  <c r="G213" i="7"/>
  <c r="C97" i="19"/>
  <c r="K37"/>
  <c r="J37"/>
  <c r="G275" i="3"/>
  <c r="C73" i="19"/>
  <c r="H263" i="3"/>
  <c r="G286"/>
  <c r="G294"/>
  <c r="H298"/>
  <c r="D75" i="19" s="1"/>
  <c r="H147" i="3"/>
  <c r="H179"/>
  <c r="H52"/>
  <c r="H55" s="1"/>
  <c r="H188"/>
  <c r="H14"/>
  <c r="H37"/>
  <c r="H60"/>
  <c r="H75"/>
  <c r="G282"/>
  <c r="G288"/>
  <c r="C74" i="19" s="1"/>
  <c r="F69" i="10"/>
  <c r="G19" i="9"/>
  <c r="D43" i="19"/>
  <c r="G174" i="6"/>
  <c r="G179"/>
  <c r="K64" i="19" s="1"/>
  <c r="G257" i="3"/>
  <c r="C71" i="19" s="1"/>
  <c r="H254" i="3"/>
  <c r="H257" s="1"/>
  <c r="D71" i="19" s="1"/>
  <c r="H288" i="3"/>
  <c r="D74" i="19"/>
  <c r="H176" i="3"/>
  <c r="H181"/>
  <c r="G170"/>
  <c r="H167"/>
  <c r="H170" s="1"/>
  <c r="H160"/>
  <c r="H163" s="1"/>
  <c r="G163"/>
  <c r="H153"/>
  <c r="H156"/>
  <c r="G156"/>
  <c r="H139"/>
  <c r="H142" s="1"/>
  <c r="G135"/>
  <c r="G128"/>
  <c r="H125"/>
  <c r="H128" s="1"/>
  <c r="H91"/>
  <c r="G87"/>
  <c r="H82"/>
  <c r="G69"/>
  <c r="G55"/>
  <c r="G343"/>
  <c r="H69"/>
  <c r="H60" i="7"/>
  <c r="H245"/>
  <c r="D99" i="19"/>
  <c r="H328" i="7"/>
  <c r="H329"/>
  <c r="D102" i="19" s="1"/>
  <c r="G329" i="7"/>
  <c r="C102" i="19" s="1"/>
  <c r="H308" i="7"/>
  <c r="G234" i="3"/>
  <c r="C69" i="19"/>
  <c r="G258" i="7"/>
  <c r="G403"/>
  <c r="C107" i="19" s="1"/>
  <c r="G71" i="10"/>
  <c r="G76" s="1"/>
  <c r="G77" s="1"/>
  <c r="H172" i="7"/>
  <c r="G177"/>
  <c r="F9" i="10"/>
  <c r="J36" i="19"/>
  <c r="G7" i="10"/>
  <c r="G9"/>
  <c r="K36" i="19" s="1"/>
  <c r="H362" i="7"/>
  <c r="D105" i="19"/>
  <c r="G199" i="3"/>
  <c r="G200"/>
  <c r="C65" i="19" s="1"/>
  <c r="F54" i="10"/>
  <c r="F31" i="8"/>
  <c r="J85" i="19"/>
  <c r="F43" i="8"/>
  <c r="J86" i="19"/>
  <c r="G335" i="3"/>
  <c r="G17" i="9"/>
  <c r="D42" i="19" s="1"/>
  <c r="H325" i="3"/>
  <c r="D78" i="19" s="1"/>
  <c r="G325" i="3"/>
  <c r="C78" i="19" s="1"/>
  <c r="G267" i="3"/>
  <c r="C72" i="19" s="1"/>
  <c r="G212" i="3"/>
  <c r="G213" s="1"/>
  <c r="C66" i="19" s="1"/>
  <c r="G207" i="3"/>
  <c r="H312"/>
  <c r="H314" s="1"/>
  <c r="D77" i="19" s="1"/>
  <c r="G308" i="3"/>
  <c r="C76" i="19"/>
  <c r="G220" i="3"/>
  <c r="C67" i="19"/>
  <c r="G227" i="3"/>
  <c r="C68" i="19"/>
  <c r="H267" i="3"/>
  <c r="D72" i="19"/>
  <c r="H308" i="3"/>
  <c r="D76" i="19"/>
  <c r="H353" i="3"/>
  <c r="H362"/>
  <c r="H202" i="7"/>
  <c r="D96" i="19"/>
  <c r="H213" i="7"/>
  <c r="D97" i="19"/>
  <c r="G382" i="7"/>
  <c r="H372"/>
  <c r="G375"/>
  <c r="H375"/>
  <c r="H340"/>
  <c r="D103" i="19"/>
  <c r="G320" i="7"/>
  <c r="H232"/>
  <c r="G170"/>
  <c r="H170"/>
  <c r="H163"/>
  <c r="H65"/>
  <c r="D88" i="19" s="1"/>
  <c r="G65" i="7"/>
  <c r="C88" i="19" s="1"/>
  <c r="G54" i="7"/>
  <c r="C87" i="19" s="1"/>
  <c r="G42" i="7"/>
  <c r="G35"/>
  <c r="G23"/>
  <c r="C85" i="19" s="1"/>
  <c r="G12" i="7"/>
  <c r="C84" i="19" s="1"/>
  <c r="F19" i="8"/>
  <c r="J84" i="19" s="1"/>
  <c r="F76" i="10"/>
  <c r="F77" s="1"/>
  <c r="J39" i="19" s="1"/>
  <c r="G54" i="10"/>
  <c r="H76" i="3"/>
  <c r="H92"/>
  <c r="G96"/>
  <c r="H61"/>
  <c r="G62"/>
  <c r="H62"/>
  <c r="H38"/>
  <c r="G39"/>
  <c r="H39"/>
  <c r="G25"/>
  <c r="H22"/>
  <c r="H25" s="1"/>
  <c r="G31" i="8"/>
  <c r="K85" i="19" s="1"/>
  <c r="G142" i="3"/>
  <c r="B25" i="19"/>
  <c r="B28"/>
  <c r="B26"/>
  <c r="B27"/>
  <c r="C45" i="20"/>
  <c r="G16" i="9"/>
  <c r="D41" i="19"/>
  <c r="J50" i="20"/>
  <c r="G69" i="10"/>
  <c r="H296" i="7"/>
  <c r="H351"/>
  <c r="D104" i="19" s="1"/>
  <c r="H403" i="7"/>
  <c r="D107" i="19" s="1"/>
  <c r="F134" i="6"/>
  <c r="I29"/>
  <c r="G218"/>
  <c r="G193"/>
  <c r="G12" i="9"/>
  <c r="D38" i="19"/>
  <c r="G15" i="9"/>
  <c r="D40" i="19"/>
  <c r="G141" i="6"/>
  <c r="G149" i="3"/>
  <c r="H148"/>
  <c r="H149"/>
  <c r="G248"/>
  <c r="C70" i="19"/>
  <c r="C36"/>
  <c r="F308" i="6"/>
  <c r="G308"/>
  <c r="G95"/>
  <c r="G134"/>
  <c r="G233"/>
  <c r="G240"/>
  <c r="H96" i="3"/>
  <c r="G97"/>
  <c r="C60" i="19" s="1"/>
  <c r="H87" i="3"/>
  <c r="H97" s="1"/>
  <c r="D60" i="19" s="1"/>
  <c r="G21" i="9"/>
  <c r="D45" i="19"/>
  <c r="G23" i="9"/>
  <c r="D46" i="19"/>
  <c r="F28" i="9"/>
  <c r="G28" s="1"/>
  <c r="D52" i="19" s="1"/>
  <c r="J22" s="1"/>
  <c r="G30" i="9"/>
  <c r="D51" i="19" s="1"/>
  <c r="C51"/>
  <c r="G25" i="9"/>
  <c r="D48" i="19"/>
  <c r="G24" i="9"/>
  <c r="D47" i="19"/>
  <c r="G26" i="9"/>
  <c r="D49" i="19"/>
  <c r="C50"/>
  <c r="H103" i="7"/>
  <c r="H108" s="1"/>
  <c r="H101"/>
  <c r="G101"/>
  <c r="G159" i="6"/>
  <c r="G169" s="1"/>
  <c r="K63" i="19" s="1"/>
  <c r="D92" i="20"/>
  <c r="H92"/>
  <c r="H95" s="1"/>
  <c r="H96" s="1"/>
  <c r="C101" s="1"/>
  <c r="D94"/>
  <c r="H94"/>
  <c r="H91"/>
  <c r="H10" i="3"/>
  <c r="H18" s="1"/>
  <c r="H77" s="1"/>
  <c r="D59" i="19" s="1"/>
  <c r="G18" i="3"/>
  <c r="G127" i="7"/>
  <c r="C91" i="19" s="1"/>
  <c r="G233" i="7"/>
  <c r="C98" i="19" s="1"/>
  <c r="G283" i="7"/>
  <c r="C100" i="19" s="1"/>
  <c r="G163" i="7"/>
  <c r="G178" s="1"/>
  <c r="C94" i="19" s="1"/>
  <c r="H258" i="7"/>
  <c r="H225"/>
  <c r="H233" s="1"/>
  <c r="D98" i="19" s="1"/>
  <c r="H54" i="7"/>
  <c r="D87" i="19"/>
  <c r="H275" i="7"/>
  <c r="H313"/>
  <c r="G43"/>
  <c r="C86" i="19"/>
  <c r="G392" i="7"/>
  <c r="C106" i="19"/>
  <c r="H139" i="7"/>
  <c r="D92" i="19"/>
  <c r="H126" i="7"/>
  <c r="H391"/>
  <c r="G242" i="6"/>
  <c r="G245"/>
  <c r="G234"/>
  <c r="G238"/>
  <c r="G205"/>
  <c r="G194"/>
  <c r="G198" s="1"/>
  <c r="K66" i="19" s="1"/>
  <c r="G144" i="6"/>
  <c r="G96"/>
  <c r="G100" s="1"/>
  <c r="F80"/>
  <c r="F73"/>
  <c r="F81"/>
  <c r="J59" i="19" s="1"/>
  <c r="I43" i="6"/>
  <c r="I48" s="1"/>
  <c r="H39"/>
  <c r="I33"/>
  <c r="F179"/>
  <c r="J64" i="19"/>
  <c r="G48" i="3"/>
  <c r="G77" s="1"/>
  <c r="C59" i="19" s="1"/>
  <c r="H43" i="3"/>
  <c r="H48"/>
  <c r="F42" i="10"/>
  <c r="F55" s="1"/>
  <c r="J38" i="19" s="1"/>
  <c r="G42" i="10"/>
  <c r="G55"/>
  <c r="K38" i="19" s="1"/>
  <c r="G43" i="8"/>
  <c r="K86" i="19" s="1"/>
  <c r="G321" i="7"/>
  <c r="C101" i="19" s="1"/>
  <c r="I10" i="6"/>
  <c r="H25"/>
  <c r="G363" i="3"/>
  <c r="C79" i="19" s="1"/>
  <c r="H185" i="3"/>
  <c r="G190"/>
  <c r="H116"/>
  <c r="H121" s="1"/>
  <c r="G121"/>
  <c r="H227"/>
  <c r="D68" i="19" s="1"/>
  <c r="H425" i="7"/>
  <c r="D109" i="19" s="1"/>
  <c r="H220" i="3"/>
  <c r="D67" i="19"/>
  <c r="H177" i="7"/>
  <c r="H178"/>
  <c r="D94" i="19" s="1"/>
  <c r="H76" i="7"/>
  <c r="D89" i="19" s="1"/>
  <c r="H265" i="7"/>
  <c r="H282"/>
  <c r="H303"/>
  <c r="H320"/>
  <c r="H321"/>
  <c r="D101" i="19" s="1"/>
  <c r="I25" i="6"/>
  <c r="F318"/>
  <c r="J70" i="19"/>
  <c r="G314" i="6"/>
  <c r="G318"/>
  <c r="K70" i="19" s="1"/>
  <c r="G184" i="6"/>
  <c r="G189" s="1"/>
  <c r="K65" i="19" s="1"/>
  <c r="F189" i="6"/>
  <c r="J65" i="19"/>
  <c r="G148" i="6"/>
  <c r="G153"/>
  <c r="F153"/>
  <c r="G142"/>
  <c r="G146" s="1"/>
  <c r="G154" s="1"/>
  <c r="K62" i="19" s="1"/>
  <c r="F146" i="6"/>
  <c r="F154" s="1"/>
  <c r="J62" i="19" s="1"/>
  <c r="B29"/>
  <c r="C28" s="1"/>
  <c r="H190" i="7"/>
  <c r="D95" i="19" s="1"/>
  <c r="H414" i="7"/>
  <c r="D108" i="19" s="1"/>
  <c r="F226" i="6"/>
  <c r="J68" i="19" s="1"/>
  <c r="G226" i="6"/>
  <c r="K68" i="19" s="1"/>
  <c r="H248" i="3"/>
  <c r="D70" i="19" s="1"/>
  <c r="G273" i="6"/>
  <c r="G203"/>
  <c r="G211"/>
  <c r="K67" i="19" s="1"/>
  <c r="F211" i="6"/>
  <c r="J67" i="19" s="1"/>
  <c r="G122" i="6"/>
  <c r="G127" s="1"/>
  <c r="G135" s="1"/>
  <c r="K61" i="19" s="1"/>
  <c r="F127" i="6"/>
  <c r="F135" s="1"/>
  <c r="J61" i="19" s="1"/>
  <c r="F256" i="6"/>
  <c r="G251"/>
  <c r="G256" s="1"/>
  <c r="F57" i="8"/>
  <c r="J87" i="19" s="1"/>
  <c r="G48" i="8"/>
  <c r="G57" s="1"/>
  <c r="K87" i="19" s="1"/>
  <c r="G425" i="7"/>
  <c r="C109" i="19"/>
  <c r="G414" i="7"/>
  <c r="C108" i="19"/>
  <c r="F115" i="6"/>
  <c r="F108"/>
  <c r="F100"/>
  <c r="G73"/>
  <c r="G81" s="1"/>
  <c r="K59" i="19" s="1"/>
  <c r="F238" i="6"/>
  <c r="F198"/>
  <c r="J66" i="19" s="1"/>
  <c r="C26"/>
  <c r="H283" i="7"/>
  <c r="D100" i="19" s="1"/>
  <c r="H27"/>
  <c r="H28"/>
  <c r="H26"/>
  <c r="H25"/>
  <c r="J35" i="20"/>
  <c r="J41"/>
  <c r="J39"/>
  <c r="J37"/>
  <c r="J43"/>
  <c r="H29" i="19" l="1"/>
  <c r="C27"/>
  <c r="G112" i="3"/>
  <c r="H102"/>
  <c r="H112" s="1"/>
  <c r="G171"/>
  <c r="C62" i="19" s="1"/>
  <c r="C25"/>
  <c r="C29" s="1"/>
  <c r="C48" i="20"/>
  <c r="K39" i="19"/>
  <c r="H127" i="7"/>
  <c r="D91" i="19" s="1"/>
  <c r="J88"/>
  <c r="I28" s="1"/>
  <c r="H207" i="3"/>
  <c r="H213" s="1"/>
  <c r="D66" i="19" s="1"/>
  <c r="H12" i="7"/>
  <c r="D84" i="19" s="1"/>
  <c r="H42" i="7"/>
  <c r="H43" s="1"/>
  <c r="D86" i="19" s="1"/>
  <c r="G274" i="6"/>
  <c r="K69" i="19" s="1"/>
  <c r="I49" i="6"/>
  <c r="K57" i="19" s="1"/>
  <c r="C110"/>
  <c r="I27" s="1"/>
  <c r="G20" i="9"/>
  <c r="D44" i="19" s="1"/>
  <c r="C44"/>
  <c r="C52"/>
  <c r="I22" s="1"/>
  <c r="D27"/>
  <c r="D28"/>
  <c r="C47" i="20"/>
  <c r="H392" i="7"/>
  <c r="D106" i="19" s="1"/>
  <c r="F93" i="6"/>
  <c r="F116" s="1"/>
  <c r="J60" i="19" s="1"/>
  <c r="H135" i="3"/>
  <c r="H171" s="1"/>
  <c r="D62" i="19" s="1"/>
  <c r="D80" s="1"/>
  <c r="J25" s="1"/>
  <c r="F88" i="10"/>
  <c r="J40" i="19" s="1"/>
  <c r="J52" s="1"/>
  <c r="I23" s="1"/>
  <c r="G83" i="10"/>
  <c r="G88" s="1"/>
  <c r="H59" i="6"/>
  <c r="J58" i="19" s="1"/>
  <c r="I55" i="6"/>
  <c r="I59" s="1"/>
  <c r="K58" i="19" s="1"/>
  <c r="G19" i="8"/>
  <c r="K84" i="19" s="1"/>
  <c r="K88" s="1"/>
  <c r="J28" s="1"/>
  <c r="C41" i="20" s="1"/>
  <c r="F263" i="6"/>
  <c r="F274" s="1"/>
  <c r="J69" i="19" s="1"/>
  <c r="G108" i="6"/>
  <c r="G116" s="1"/>
  <c r="K60" i="19" s="1"/>
  <c r="H48" i="6"/>
  <c r="H49" s="1"/>
  <c r="J57" i="19" s="1"/>
  <c r="G298" i="3"/>
  <c r="C75" i="19" s="1"/>
  <c r="G181" i="3"/>
  <c r="G191" s="1"/>
  <c r="C63" i="19" s="1"/>
  <c r="D25" l="1"/>
  <c r="D26"/>
  <c r="D29" s="1"/>
  <c r="C80"/>
  <c r="I25" s="1"/>
  <c r="I29" s="1"/>
  <c r="I31" s="1"/>
  <c r="J80"/>
  <c r="I26" s="1"/>
  <c r="C35" i="20"/>
  <c r="K80" i="19"/>
  <c r="J26" s="1"/>
  <c r="C37" i="20" s="1"/>
  <c r="C49"/>
  <c r="K40" i="19"/>
  <c r="K52" s="1"/>
  <c r="J23" s="1"/>
  <c r="D110"/>
  <c r="J27" s="1"/>
  <c r="C39" i="20" s="1"/>
  <c r="E26" i="19" l="1"/>
  <c r="E28"/>
  <c r="E27"/>
  <c r="E25"/>
  <c r="E29" s="1"/>
  <c r="J29"/>
  <c r="J31" s="1"/>
  <c r="K31" s="1"/>
  <c r="F28" l="1"/>
  <c r="F25"/>
  <c r="F26"/>
  <c r="F27"/>
  <c r="F29" l="1"/>
  <c r="G26" l="1"/>
  <c r="G27"/>
  <c r="G28"/>
  <c r="G25"/>
  <c r="G29" s="1"/>
  <c r="K25" s="1"/>
  <c r="A34" i="20" l="1"/>
  <c r="H21"/>
  <c r="J21" s="1"/>
  <c r="H29"/>
  <c r="J29" s="1"/>
  <c r="H23"/>
  <c r="J23" s="1"/>
  <c r="H31"/>
  <c r="J31" s="1"/>
  <c r="K28" i="19"/>
  <c r="K26"/>
  <c r="H27" i="20"/>
  <c r="J27" s="1"/>
  <c r="A20"/>
  <c r="J30" i="19"/>
  <c r="H30"/>
  <c r="K27"/>
  <c r="I30" l="1"/>
  <c r="K29"/>
  <c r="J33" i="20"/>
  <c r="J64" s="1"/>
  <c r="C100" s="1"/>
  <c r="C102" s="1"/>
</calcChain>
</file>

<file path=xl/comments1.xml><?xml version="1.0" encoding="utf-8"?>
<comments xmlns="http://schemas.openxmlformats.org/spreadsheetml/2006/main">
  <authors>
    <author>Original</author>
  </authors>
  <commentList>
    <comment ref="C35" authorId="0">
      <text>
        <r>
          <rPr>
            <sz val="9"/>
            <color indexed="81"/>
            <rFont val="Tahoma"/>
            <family val="2"/>
          </rPr>
          <t>เชื่อมโยงจำนวนชั่วโมงทำการ/สัปดาห์ จาก Sheet การคำนวณ</t>
        </r>
      </text>
    </comment>
    <comment ref="H35" authorId="0">
      <text>
        <r>
          <rPr>
            <sz val="9"/>
            <color indexed="81"/>
            <rFont val="Tahoma"/>
            <family val="2"/>
          </rPr>
          <t>เชื่อมโยงน้ำหนัก จาก Sheet การคำนวณ</t>
        </r>
      </text>
    </comment>
    <comment ref="C37" authorId="0">
      <text>
        <r>
          <rPr>
            <sz val="9"/>
            <color indexed="81"/>
            <rFont val="Tahoma"/>
            <family val="2"/>
          </rPr>
          <t>เชื่อมโยงจำนวนชั่วโมงทำการ/สัปดาห์ จาก Sheet การคำนวณ</t>
        </r>
      </text>
    </comment>
    <comment ref="H37" authorId="0">
      <text>
        <r>
          <rPr>
            <sz val="9"/>
            <color indexed="81"/>
            <rFont val="Tahoma"/>
            <family val="2"/>
          </rPr>
          <t xml:space="preserve">เชื่อมโยงน้ำหนัก จาก Sheet การคำนวณ
</t>
        </r>
      </text>
    </comment>
    <comment ref="C39" authorId="0">
      <text>
        <r>
          <rPr>
            <sz val="9"/>
            <color indexed="81"/>
            <rFont val="Tahoma"/>
            <family val="2"/>
          </rPr>
          <t>เชื่อมโยงจำนวนชั่วโมงทำการ/สัปดาห์ จาก Sheet การคำนวณ</t>
        </r>
      </text>
    </comment>
    <comment ref="H39" authorId="0">
      <text>
        <r>
          <rPr>
            <sz val="9"/>
            <color indexed="81"/>
            <rFont val="Tahoma"/>
            <family val="2"/>
          </rPr>
          <t xml:space="preserve">เชื่อมโยงน้ำหนัก จาก Sheet การคำนวณ
</t>
        </r>
      </text>
    </comment>
    <comment ref="C41" authorId="0">
      <text>
        <r>
          <rPr>
            <sz val="9"/>
            <color indexed="81"/>
            <rFont val="Tahoma"/>
            <family val="2"/>
          </rPr>
          <t>เชื่อมโยงจำนวนชั่วโมงทำการ/สัปดาห์ จาก Sheet การคำนวณ</t>
        </r>
      </text>
    </comment>
    <comment ref="H41" authorId="0">
      <text>
        <r>
          <rPr>
            <sz val="9"/>
            <color indexed="81"/>
            <rFont val="Tahoma"/>
            <family val="2"/>
          </rPr>
          <t xml:space="preserve">เชื่อมโยงน้ำหนัก จาก Sheet การคำนวณ
</t>
        </r>
      </text>
    </comment>
  </commentList>
</comments>
</file>

<file path=xl/comments2.xml><?xml version="1.0" encoding="utf-8"?>
<comments xmlns="http://schemas.openxmlformats.org/spreadsheetml/2006/main">
  <authors>
    <author>Original</author>
  </authors>
  <commentList>
    <comment ref="G21" authorId="0">
      <text>
        <r>
          <rPr>
            <sz val="9"/>
            <color indexed="81"/>
            <rFont val="Tahoma"/>
            <family val="2"/>
          </rPr>
          <t>- ผู้ที่ดำรงตำแหน่ง "</t>
        </r>
        <r>
          <rPr>
            <b/>
            <sz val="9"/>
            <color indexed="81"/>
            <rFont val="Tahoma"/>
            <family val="2"/>
          </rPr>
          <t>คณะกรรมการและเลขานุการหลักสูตร</t>
        </r>
        <r>
          <rPr>
            <sz val="9"/>
            <color indexed="81"/>
            <rFont val="Tahoma"/>
            <family val="2"/>
          </rPr>
          <t>" จะคิดภาระงานบริหารร้อยละ 10 และภาระงานตามพันธกิจร้อยละ 40 
- กรณีตำแหน่งผู้บริหารอื่น นอกเหนือจากตำแหน่งข้างต้น จะคิดภาระงานตามพันธกิจร้อยละ 50</t>
        </r>
      </text>
    </comment>
  </commentList>
</comments>
</file>

<file path=xl/comments3.xml><?xml version="1.0" encoding="utf-8"?>
<comments xmlns="http://schemas.openxmlformats.org/spreadsheetml/2006/main">
  <authors>
    <author>Original</author>
    <author>Raphael</author>
  </authors>
  <commentList>
    <comment ref="E10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24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29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30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31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36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37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38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43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44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45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46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47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52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53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54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59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60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61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66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67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68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73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74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75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82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83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84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85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86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91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92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93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94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95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02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03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04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05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06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07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08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09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10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11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16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17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18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19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20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25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26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27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32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33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34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39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40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41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46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47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48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53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54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55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60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61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62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67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68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69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76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จำนวนชั่วโมงปฏิบัติ(คิด 1 section) x 15</t>
        </r>
      </text>
    </comment>
    <comment ref="E177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จำนวนชั่วโมงปฏิบัติ(คิด 1 section) x 15</t>
        </r>
      </text>
    </comment>
    <comment ref="E178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จำนวนชั่วโมงปฏิบัติ(คิด 1 section) x 15</t>
        </r>
      </text>
    </comment>
    <comment ref="E179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จำนวนชั่วโมงปฏิบัติ(คิด 1 section) x 15</t>
        </r>
      </text>
    </comment>
    <comment ref="E180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จำนวนชั่วโมงปฏิบัติ(คิด 1 section) x 15</t>
        </r>
      </text>
    </comment>
    <comment ref="E185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จำนวนชั่วโมงปฏิบัติ(คิด 1 section) x 15</t>
        </r>
      </text>
    </comment>
    <comment ref="E186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จำนวนชั่วโมงปฏิบัติ(คิด 1 section) x 15</t>
        </r>
      </text>
    </comment>
    <comment ref="E187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จำนวนชั่วโมงปฏิบัติ(คิด 1 section) x 15</t>
        </r>
      </text>
    </comment>
    <comment ref="E188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จำนวนชั่วโมงปฏิบัติ(คิด 1 section) x 15</t>
        </r>
      </text>
    </comment>
    <comment ref="E189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จำนวนชั่วโมงปฏิบัติ(คิด 1 section) x 15</t>
        </r>
      </text>
    </comment>
    <comment ref="E196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97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98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204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จำนวนชั่วโมงปฏิบัติ(คิด 1 section) x 15</t>
        </r>
      </text>
    </comment>
    <comment ref="E205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จำนวนชั่วโมงปฏิบัติ(คิด 1 section) x 15</t>
        </r>
      </text>
    </comment>
    <comment ref="E206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จำนวนชั่วโมงปฏิบัติ(คิด 1 section) x 15</t>
        </r>
      </text>
    </comment>
    <comment ref="E209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จำนวนชั่วโมงปฏิบัติ(คิด 1 section) x 15</t>
        </r>
      </text>
    </comment>
    <comment ref="E210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จำนวนชั่วโมงปฏิบัติ(คิด 1 section) x 15</t>
        </r>
      </text>
    </comment>
    <comment ref="E211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จำนวนชั่วโมงปฏิบัติ(คิด 1 section) x 15</t>
        </r>
      </text>
    </comment>
    <comment ref="E217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218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219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224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225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226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231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232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233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D266" authorId="0">
      <text>
        <r>
          <rPr>
            <sz val="9"/>
            <color indexed="81"/>
            <rFont val="Tahoma"/>
            <family val="2"/>
          </rPr>
          <t xml:space="preserve">กรณีจำนวนนักศึกษา &lt; 20 คน คิดภาระงาน = 0.5 ชม.ทำการ/สัปดาห์
กรณีจำนวนักศึกษา </t>
        </r>
        <r>
          <rPr>
            <u/>
            <sz val="9"/>
            <color indexed="81"/>
            <rFont val="Tahoma"/>
            <family val="2"/>
          </rPr>
          <t>&gt;</t>
        </r>
        <r>
          <rPr>
            <sz val="9"/>
            <color indexed="81"/>
            <rFont val="Tahoma"/>
            <family val="2"/>
          </rPr>
          <t xml:space="preserve"> 20 คน คิดภาระงาน = 1 ชม.ทำการ/สัปดาห์</t>
        </r>
      </text>
    </comment>
    <comment ref="D274" authorId="0">
      <text>
        <r>
          <rPr>
            <sz val="9"/>
            <color indexed="81"/>
            <rFont val="Tahoma"/>
            <family val="2"/>
          </rPr>
          <t xml:space="preserve">กรณีจำนวนนักศึกษา &lt; 20 คน คิดภาระงาน = 0.5 ชม.ทำการ/สัปดาห์
กรณีจำนวนนักศึกษา </t>
        </r>
        <r>
          <rPr>
            <u/>
            <sz val="9"/>
            <color indexed="81"/>
            <rFont val="Tahoma"/>
            <family val="2"/>
          </rPr>
          <t>&gt;</t>
        </r>
        <r>
          <rPr>
            <sz val="9"/>
            <color indexed="81"/>
            <rFont val="Tahoma"/>
            <family val="2"/>
          </rPr>
          <t xml:space="preserve"> 20 คน คิดภาระงาน = 1 ชม.ทำการ/สัปดาห์
</t>
        </r>
      </text>
    </comment>
    <comment ref="D340" authorId="1">
      <text>
        <r>
          <rPr>
            <b/>
            <sz val="9"/>
            <color indexed="81"/>
            <rFont val="Tahoma"/>
            <family val="2"/>
          </rPr>
          <t>ยกมาจากวิชาที่ประสานงานในรายวิชาที่สอนบรรยาย/ปฏิบัติ</t>
        </r>
      </text>
    </comment>
    <comment ref="D341" authorId="1">
      <text>
        <r>
          <rPr>
            <b/>
            <sz val="9"/>
            <color indexed="81"/>
            <rFont val="Tahoma"/>
            <family val="2"/>
          </rPr>
          <t>ยกมาจากวิชาที่ประสานงานในรายวิชาที่สอนบรรยาย/ปฏิบัติ</t>
        </r>
      </text>
    </comment>
    <comment ref="D342" authorId="1">
      <text>
        <r>
          <rPr>
            <b/>
            <sz val="9"/>
            <color indexed="81"/>
            <rFont val="Tahoma"/>
            <family val="2"/>
          </rPr>
          <t>ยกมาจากวิชาที่ประสานงานในรายวิชาที่สอนบรรยาย/ปฏิบัติ</t>
        </r>
      </text>
    </comment>
  </commentList>
</comments>
</file>

<file path=xl/comments4.xml><?xml version="1.0" encoding="utf-8"?>
<comments xmlns="http://schemas.openxmlformats.org/spreadsheetml/2006/main">
  <authors>
    <author>Original</author>
  </authors>
  <commentList>
    <comment ref="F193" authorId="0">
      <text>
        <r>
          <rPr>
            <b/>
            <sz val="9"/>
            <color indexed="81"/>
            <rFont val="Tahoma"/>
            <family val="2"/>
          </rPr>
          <t xml:space="preserve">คิดภาระงานไม่เกินจำนวน 45 </t>
        </r>
      </text>
    </comment>
    <comment ref="F194" authorId="0">
      <text>
        <r>
          <rPr>
            <b/>
            <sz val="9"/>
            <color indexed="81"/>
            <rFont val="Tahoma"/>
            <family val="2"/>
          </rPr>
          <t>คิดภาระงานไม่เกินจำนวน 45</t>
        </r>
      </text>
    </comment>
    <comment ref="F195" authorId="0">
      <text>
        <r>
          <rPr>
            <b/>
            <sz val="9"/>
            <color indexed="81"/>
            <rFont val="Tahoma"/>
            <family val="2"/>
          </rPr>
          <t xml:space="preserve">คิดภาระงานไม่เกินจำนวน 45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96" authorId="0">
      <text>
        <r>
          <rPr>
            <b/>
            <sz val="9"/>
            <color indexed="81"/>
            <rFont val="Tahoma"/>
            <family val="2"/>
          </rPr>
          <t xml:space="preserve">คิดภาระงานไม่เกินจำนวน 45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97" authorId="0">
      <text>
        <r>
          <rPr>
            <b/>
            <sz val="9"/>
            <color indexed="81"/>
            <rFont val="Tahoma"/>
            <family val="2"/>
          </rPr>
          <t xml:space="preserve">คิดภาระงานไม่เกินจำนวน 45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<sst xmlns="http://schemas.openxmlformats.org/spreadsheetml/2006/main" count="3711" uniqueCount="1340">
  <si>
    <t>ชม.ทำการ</t>
  </si>
  <si>
    <t>1. ภาระงานสอน  (ต่อภาคการศึกษา)</t>
  </si>
  <si>
    <t>1.1 การสอนบรรยายและคุมปฏิบัติการ</t>
  </si>
  <si>
    <t>1.1.1 การสอนบรรยายและคุมปฏิบัติการ ระดับปริญญาตรี</t>
  </si>
  <si>
    <t>ก. สอนระดับปริญญาตรี</t>
  </si>
  <si>
    <t>1 ชั่วโมงสอนบรรยาย</t>
  </si>
  <si>
    <t>3 ชม.ทำการ</t>
  </si>
  <si>
    <t>คิดเท่ากับ 1 +2</t>
  </si>
  <si>
    <t xml:space="preserve">    +เพิ่มกรณีสอนขนาดชั้นเรียน</t>
  </si>
  <si>
    <t xml:space="preserve">    ขนาด class size 281-340 คน</t>
  </si>
  <si>
    <t>6 ชม.ทำการ</t>
  </si>
  <si>
    <t>(ดูรายละเอียดในคำชี้แจงข้อ ข ข้อย่อย 1.6)</t>
  </si>
  <si>
    <t>ข. การคุมปฏิบัติการ</t>
  </si>
  <si>
    <t>1 ชั่วโมงคุมปฏิบัติการ</t>
  </si>
  <si>
    <t>1.5 ชม.ทำการ</t>
  </si>
  <si>
    <t>1  ชั่วโมงคุมปฏิบัติการ</t>
  </si>
  <si>
    <t>1.7 ชม.ทำการ</t>
  </si>
  <si>
    <t>2.25 ชม.ทำการ</t>
  </si>
  <si>
    <t>ให้ได้ load ลดลง 25% (ดูรายละเอียดในคำชี้แจงข้อ ข ข้อย่อย 1.7)</t>
  </si>
  <si>
    <t xml:space="preserve">ง. สอนหลักสูตรโครงการพิเศษ </t>
  </si>
  <si>
    <t>30% ของ load งานสอนปกติทุกประเภท</t>
  </si>
  <si>
    <t>รวมถึงการสอนภาษาอังกฤษนศ. โครงการ พิเศษ  (ดูรายละเอียดในคำชี้แจงข้อ ข ข้อย่อย 1.9)</t>
  </si>
  <si>
    <t>จ. สอนภาคฤดูร้อน</t>
  </si>
  <si>
    <t xml:space="preserve">50% ของ load งานสอนปกติ </t>
  </si>
  <si>
    <t>ดูรายละเอียดในคำชี้แจงข้อ ข ข้อย่อย 1.8</t>
  </si>
  <si>
    <t xml:space="preserve">ฉ. สอนเป็นภาษาอังกฤษ (ยกเว้นรายวิชา    </t>
  </si>
  <si>
    <t>4.50 ชม.ทำการ</t>
  </si>
  <si>
    <t>+ เพิ่ม 50% (ดูรายละเอียดในคำชี้แจงข้อ ข</t>
  </si>
  <si>
    <t xml:space="preserve">    ที่สอนเกี่ยวกับภาษาอังกฤษ)</t>
  </si>
  <si>
    <t xml:space="preserve"> ข้อย่อย 1.10)</t>
  </si>
  <si>
    <t>ช. เดินทางไปสอนต่างวิทยาเขต</t>
  </si>
  <si>
    <t xml:space="preserve">+ เพิ่ม 50%  </t>
  </si>
  <si>
    <t>1.1.2  การสอนบรรยายและคุมปฏิบัติการ ระดับบัณฑิตศึกษา</t>
  </si>
  <si>
    <t>ก. การสอนบรรยาย</t>
  </si>
  <si>
    <t>คิดเท่ากับ 1.5 เท่าของปริญญาตรี</t>
  </si>
  <si>
    <t xml:space="preserve">   สาขา/สอนปฏิบัติบนคลีนิค</t>
  </si>
  <si>
    <t xml:space="preserve">ค. สอนหลักสูตรโครงการพิเศษ </t>
  </si>
  <si>
    <t>รวมถึงการสอนภาษาอังกฤษนศ.โครงการพิเศษ  (ดูรายละเอียดในคำชี้แจงข้อ ข ข้อย่อย 1.9)</t>
  </si>
  <si>
    <t xml:space="preserve">ง. สอนภาคฤดูร้อน </t>
  </si>
  <si>
    <t xml:space="preserve">จ. สอนเป็นภาษาอังกฤษ (ยกเว้นรายวิชา     </t>
  </si>
  <si>
    <t xml:space="preserve">   ที่สอนเกี่ยวกับภาษาอังกฤษ)</t>
  </si>
  <si>
    <t>ฉ. กรณีเดินทางไปสอนต่างวิทยาเขต</t>
  </si>
  <si>
    <t>1.2.1  การสอนแบบ PBL ระดับปริญญาตรี</t>
  </si>
  <si>
    <t>ก. การทำหน้าที่ของอาจารย์</t>
  </si>
  <si>
    <t xml:space="preserve">    - เป็น Facilitator </t>
  </si>
  <si>
    <t>คิดเท่ากับการทำงาน 3 ชั่วโมง</t>
  </si>
  <si>
    <t xml:space="preserve">     - เป็น Resource Person/Session manager</t>
  </si>
  <si>
    <t>คิดเหมือนการสอน lab ชีวภาพ</t>
  </si>
  <si>
    <t xml:space="preserve">ข. สอนหลักสูตรโครงการพิเศษ </t>
  </si>
  <si>
    <t>ค. สอนภาคฤดูร้อน</t>
  </si>
  <si>
    <t>1.2.2  การสอนแบบ PBL ระดับบัณฑิตศึกษา</t>
  </si>
  <si>
    <t>4.5 ชม.ทำการ</t>
  </si>
  <si>
    <t>2.55 ชม.ทำการ</t>
  </si>
  <si>
    <t>4 ชม.ทำการ</t>
  </si>
  <si>
    <t>สายวิทยาศาสตร์</t>
  </si>
  <si>
    <t xml:space="preserve">             (นศ.ป.เอก 1 คน)</t>
  </si>
  <si>
    <t>สายสังคมศาสตร์</t>
  </si>
  <si>
    <t>2 ชม.ทำการ</t>
  </si>
  <si>
    <t xml:space="preserve">              (นศ.ป.เอก 1 คน)</t>
  </si>
  <si>
    <t>ดุษฎีนิพนธ์ปริญญาเอก 1 เรื่อง</t>
  </si>
  <si>
    <t>10 ชม.ทำการ</t>
  </si>
  <si>
    <t xml:space="preserve">อ่าน 7 ชม. สอบ 3 ชม. (=10)  (เป็น load ของอจ.แต่ละคน)     </t>
  </si>
  <si>
    <t xml:space="preserve">คิดต่อครั้ง  คิด 3 ชม./เรื่อง  </t>
  </si>
  <si>
    <t xml:space="preserve">              ดุษฎีนิพนธ์ </t>
  </si>
  <si>
    <t>(เป็นภาระงานของอาจารย์แต่ละคน)</t>
  </si>
  <si>
    <t>(ยกเว้นอาจารย์ที่ปรึกษาดุษฎีนิพนธ์ )</t>
  </si>
  <si>
    <t xml:space="preserve">             (นศ.ป.โท 1 คน)</t>
  </si>
  <si>
    <t>1 ชม.ทำการ</t>
  </si>
  <si>
    <t xml:space="preserve">      1.3.7 กรรมการสอบวิทยานิพนธ์             </t>
  </si>
  <si>
    <t>วิทยานิพนธ์ปริญญาโท 1 เรื่อง</t>
  </si>
  <si>
    <t xml:space="preserve">คิดต่อครั้ง อ่าน 3 ชม. สอบ 3 ชม. เป็นภาระงานของอจ.แต่ละคน)     </t>
  </si>
  <si>
    <t>(ยกเว้นอาจารย์ที่ปรึกษาวิทยานิพนธ์)</t>
  </si>
  <si>
    <t xml:space="preserve">     1.3.8 กรรมการพิจารณาโครงร่าง</t>
  </si>
  <si>
    <t>วิชาการ</t>
  </si>
  <si>
    <t>คณบดี/ผอ.สำนัก</t>
  </si>
  <si>
    <t xml:space="preserve">            วิทยานิพนธ์ </t>
  </si>
  <si>
    <t>0.75 ชม.ทำการ</t>
  </si>
  <si>
    <t xml:space="preserve">     1.3.11 กรรมการสอบสารนิพนธ์               (ยกเว้นอาจารย์ที่ปรึกษาสารนิพนธ์) </t>
  </si>
  <si>
    <t>สารนิพนธ์ปริญญาโท 1 เรื่อง</t>
  </si>
  <si>
    <t xml:space="preserve">คิดต่อครั้ง (อ่าน 3 ชม. สอบ 3 ชม. เป็น load ของ อจ. แต่ละคน)     </t>
  </si>
  <si>
    <t>นศ. 1 คน</t>
  </si>
  <si>
    <t>นักศึกษา 1  คน (3 หน่วยกิต)</t>
  </si>
  <si>
    <t xml:space="preserve">      ปัญหาพิเศษ  งานทดลองวิจัย </t>
  </si>
  <si>
    <t xml:space="preserve">      ปฎิบัติการภาคสนาม  1  เรื่อง</t>
  </si>
  <si>
    <t>คิดต่อครั้ง (อ่าน ตรวจ และประเมินรายงาน)</t>
  </si>
  <si>
    <t xml:space="preserve">       กก.พิจารณาผลงาน project  / กก.             </t>
  </si>
  <si>
    <t>(เป็นภาระงานของกรรมการ 1 คน)</t>
  </si>
  <si>
    <t xml:space="preserve">       กลาง / กก.ผู้ทรงคุณวุฒิ                  </t>
  </si>
  <si>
    <t xml:space="preserve">(ยกเว้นอาจารย์ที่ปรึกษาโครงงาน)  </t>
  </si>
  <si>
    <t>1.4.3 กรรมการพิจารณาโครงร่างโครงงาน</t>
  </si>
  <si>
    <t>1 โครงงาน</t>
  </si>
  <si>
    <t>คิดต่อครั้ง</t>
  </si>
  <si>
    <t>คิดต่อครั้ง (เป็นภาระงาน ของกรรมการ 1 คน)</t>
  </si>
  <si>
    <t>เป็นภาระงานของผู้ประสานงาน 1 คน</t>
  </si>
  <si>
    <t xml:space="preserve">1.6.3 กรรมการสอบ/ประเมินการนำเสนอ          งาน </t>
  </si>
  <si>
    <t>เป็นภาระงานของกรรมการ 1 คน</t>
  </si>
  <si>
    <t>รวมการติดต่อประสานงานกับแหล่งฝึก  จัด นศ.ฝึกงานในแหล่งต่างๆ  ฯลฯ</t>
  </si>
  <si>
    <t>กรณีที่เป็นโครงการพิเศษคิดแค่ 30%</t>
  </si>
  <si>
    <t xml:space="preserve">1.6.5 ทัศนศึกษาที่ปรากฎใน course              </t>
  </si>
  <si>
    <t xml:space="preserve">1 ชม.ปฏิบัติงาน </t>
  </si>
  <si>
    <t>คิดต่อครั้ง (ไม่เกิน 6 ชม./วัน)</t>
  </si>
  <si>
    <t xml:space="preserve">      outline ของรายวิชาสอน/หลักสูตร</t>
  </si>
  <si>
    <t>1 รายวิชา</t>
  </si>
  <si>
    <t>10% ของ จำนวนชม.สอน</t>
  </si>
  <si>
    <t xml:space="preserve">       โครงงาน/ สัมมนา /ฝึกงาน)</t>
  </si>
  <si>
    <t>ทำการในรายวิชานั้นๆ</t>
  </si>
  <si>
    <t>1 ชั่วโมงคุมสอบ</t>
  </si>
  <si>
    <t>0.5 ชั่วโมงทำการ</t>
  </si>
  <si>
    <t>1 ชั่วโมงทำงาน</t>
  </si>
  <si>
    <t>ดุลยพินิจของกรรมการ</t>
  </si>
  <si>
    <t xml:space="preserve">       นักศึกษา นอกจากที่กล่าวข้างต้น</t>
  </si>
  <si>
    <t>ประจำคณะ</t>
  </si>
  <si>
    <t>ตาราง แสดงการคิด Load ของโครงการวิจัย</t>
  </si>
  <si>
    <t xml:space="preserve">                           เกณฑ์มาตรฐาน</t>
  </si>
  <si>
    <t>การกำหนดตัวแปรตามจำนวนเงินวิจัยของโครงการ</t>
  </si>
  <si>
    <t>กำหนดตัวแปรตามจำนวนผู้ร่วมวิจัย</t>
  </si>
  <si>
    <t>จำนวนเงิน(วิจัยวิทย์)</t>
  </si>
  <si>
    <t>เงิน</t>
  </si>
  <si>
    <t>factor (B)</t>
  </si>
  <si>
    <t>จำนวนเงิน(วิจัยสังคม)</t>
  </si>
  <si>
    <t>จำนวนคน</t>
  </si>
  <si>
    <t>LU/โครงการ/ปี</t>
  </si>
  <si>
    <t>2. ภาระงานวิจัยและผลงานทางวิชาการอื่นๆ  (ต่อปีการศึกษา)</t>
  </si>
  <si>
    <t>2.1 งานวิจัยที่กำลังดำเนินงาน</t>
  </si>
  <si>
    <t xml:space="preserve">    2.1.1.1 โครงการวิจัยทาง</t>
  </si>
  <si>
    <t>1 โครงการวิจัย, จน.ผู้วิจัย</t>
  </si>
  <si>
    <t>ทุกวงเงินที่เพิ่มขึ้นรับภาระงานเพิ่มขึ้น</t>
  </si>
  <si>
    <t>ดูรายละเอียดในคำชี้แจงข้อ ค ข้อย่อย 2.2</t>
  </si>
  <si>
    <t>งบประมาณทุนวิจัย</t>
  </si>
  <si>
    <t xml:space="preserve">      …………</t>
  </si>
  <si>
    <t xml:space="preserve">       ………..</t>
  </si>
  <si>
    <t xml:space="preserve">   2.1.1.2 โครงการวิจัยทาง</t>
  </si>
  <si>
    <t>1 โครงการวิจัย, ผู้วิจัย N คน</t>
  </si>
  <si>
    <t>ทุนวิจัย B บาท/ปี</t>
  </si>
  <si>
    <t xml:space="preserve">     …กรณีโครงการวิจัยที่&gt;1ปี  หากไม่ได้กำหนดวงเงินเป็นรายปี ให้หารเฉลี่ย  แต่ถ้ามีการแบ่งเงินเป็นรายปี คิดตามที่กำหนดรายปี</t>
  </si>
  <si>
    <t xml:space="preserve">ตัวอย่าง  </t>
  </si>
  <si>
    <t>1 ชุดโครงการ</t>
  </si>
  <si>
    <t>60 ชม.ทำการ</t>
  </si>
  <si>
    <t>คิดต่อชุดโครงการ/ปี</t>
  </si>
  <si>
    <t xml:space="preserve">  โครงการวิจัยทางวิทย์ 1 โครงการ 2 คน วงเงิน 5.6 หมื่นบาทได้  (1+ จำนวนคน) * f(จำนวนเงิน) = (1+2) *(1+ (จำนวนเต็มของ (56,000 / 10,000)* 0.02))</t>
  </si>
  <si>
    <t>2.1.2 งานวิจัยที่ไม่ได้รับทุน</t>
  </si>
  <si>
    <t>1 โครงการวิจัย</t>
  </si>
  <si>
    <t>45 ชม.ทำการ</t>
  </si>
  <si>
    <t>มีการตรวจสอบโครงการจาก Peer และมีการติดตามผลการดำเนินงานจากคณะ</t>
  </si>
  <si>
    <t xml:space="preserve">    = 3 * (1+(5*0.02)) = 3 * 1.1 = 3.3 LU </t>
  </si>
  <si>
    <t>15 ชม.ทำการ</t>
  </si>
  <si>
    <t xml:space="preserve"> โครงการวิจัยทางสังคม 1 โครงการ 2 คน วงเงิน 2.3 หมื่นบาทได้  (1+ จำนวนผู้วิจัย) * f(B)  = (1+2) *(1+ (จำนวนเต็มของ (23,000 / 5,000)* 0.02)) </t>
  </si>
  <si>
    <t xml:space="preserve">    = 3 * (1+(4*0.02)) = 3 * 1.08 = 3.24 LU </t>
  </si>
  <si>
    <t>2.2 ผลงานทางวิชาการ</t>
  </si>
  <si>
    <t>ไม่มีการคำนวณภาระงานให้เนื่องจากได้คำนวณภาระงานขณะที่ทำงานวิจัยชิ้นนั้นแล้ว</t>
  </si>
  <si>
    <t>ตีพิมพ์ในวารสารระดับชาติ (peered) 1 paper</t>
  </si>
  <si>
    <r>
      <t xml:space="preserve"> จำนวน author </t>
    </r>
    <r>
      <rPr>
        <u/>
        <sz val="14"/>
        <rFont val="Angsana New"/>
        <family val="1"/>
      </rPr>
      <t>&gt;</t>
    </r>
    <r>
      <rPr>
        <sz val="14"/>
        <rFont val="TH Niramit AS"/>
      </rPr>
      <t>1 คน</t>
    </r>
  </si>
  <si>
    <t>ให้ภาระงานต่อ author 1 คน</t>
  </si>
  <si>
    <t>ตีพิมพ์ในวารสารระดับนานาชาติ (peered) 1 paper</t>
  </si>
  <si>
    <t>* การตีพิมพ์ในระดับอื่นๆ ให้คิดเทียบเท่าระดับชาติ</t>
  </si>
  <si>
    <t>นำเสนอในระดับชาติ</t>
  </si>
  <si>
    <t xml:space="preserve">   oral</t>
  </si>
  <si>
    <t xml:space="preserve">        </t>
  </si>
  <si>
    <t xml:space="preserve">    poster</t>
  </si>
  <si>
    <t>คิด 30% ของ oral</t>
  </si>
  <si>
    <t xml:space="preserve">    oral</t>
  </si>
  <si>
    <t xml:space="preserve">     poster</t>
  </si>
  <si>
    <t xml:space="preserve">* การนำเสนอในที่ประชุมระดับอื่นๆ ให้คิดเทียบเท่าระดับชาติ </t>
  </si>
  <si>
    <t xml:space="preserve">   การนำเสนอด้วยวิธีการอื่นๆ ให้คิดเทียบเป็นการนำเสนอด้วย  Poster</t>
  </si>
  <si>
    <t>30 - 60</t>
  </si>
  <si>
    <t>เป็นบทความที่มีฐานมาจากงานวิจัย</t>
  </si>
  <si>
    <t>60 - 105</t>
  </si>
  <si>
    <t xml:space="preserve">     invited</t>
  </si>
  <si>
    <t>weight เป็น % กรณีผู้ร่วม</t>
  </si>
  <si>
    <t xml:space="preserve">     sumitted </t>
  </si>
  <si>
    <t xml:space="preserve">     อื่นๆ</t>
  </si>
  <si>
    <t>งาน &gt;1 คน</t>
  </si>
  <si>
    <t xml:space="preserve">     sumitted</t>
  </si>
  <si>
    <t>45 - 75</t>
  </si>
  <si>
    <t>46 - 75</t>
  </si>
  <si>
    <t>ระดับอื่นๆ</t>
  </si>
  <si>
    <t>ตำรา-หนังสือ 1 เล่ม</t>
  </si>
  <si>
    <t>ไม่เกิน 120</t>
  </si>
  <si>
    <t>เอกสารคำสอน 1 วิชา</t>
  </si>
  <si>
    <t>ไม่เกิน 45</t>
  </si>
  <si>
    <t xml:space="preserve">        ประกอบการสอน</t>
  </si>
  <si>
    <t>1  หน้ากระดาษ A4</t>
  </si>
  <si>
    <t>weight ตาม % กรณีไม่ครบรายวิชา</t>
  </si>
  <si>
    <t>22.5 - 120</t>
  </si>
  <si>
    <t xml:space="preserve">              - สิทธิบัตร</t>
  </si>
  <si>
    <t>คิดต่อ 1 เรื่อง คิดเฉพาะ</t>
  </si>
  <si>
    <t>ปีที่ได้รับการจดสิทธิบัตร</t>
  </si>
  <si>
    <t xml:space="preserve">             - อนุสิทธิบัตร</t>
  </si>
  <si>
    <t>อนุสิทธิบัตรคิด 30%</t>
  </si>
  <si>
    <t>ของสิทธิบัตร</t>
  </si>
  <si>
    <t>มีหลักฐานการใช้ประโยชน์จาก</t>
  </si>
  <si>
    <t xml:space="preserve">          ประโยชน์ต่อชุมชน</t>
  </si>
  <si>
    <t>ดุลยพินิจกก.ประจำคณะ</t>
  </si>
  <si>
    <t xml:space="preserve"> 1. กรณีที่กำหนดภาระงานเป็นช่วงหรือค่าสูงสุด ให้คณะกำหนดเพิ่มตามดุลยพินิจของกรรมการประจำคณะ</t>
  </si>
  <si>
    <t>3. ภาระงานบริการวิชาการ</t>
  </si>
  <si>
    <t>ต่อภาคการศึกษา</t>
  </si>
  <si>
    <t>3.1 การเป็นวิทยากร  (มีหลักฐานแนบ)</t>
  </si>
  <si>
    <t>1 ชั่วโมงบรรยาย</t>
  </si>
  <si>
    <t xml:space="preserve"> รวมการเป็นวิทยากรให้กับหน่วยงานภายใน ม. </t>
  </si>
  <si>
    <t>3.2 การเป็นผู้ช่วยวิทยากร (มีหลักฐานแนบ)</t>
  </si>
  <si>
    <t>คิด 30% ของวิทยากร</t>
  </si>
  <si>
    <t xml:space="preserve">3.3 การเป็นกรรมการที่แต่งตั้งโดยหน่วยงานภายนอกมหาวิทยาลัย </t>
  </si>
  <si>
    <t xml:space="preserve">       3.3.1 ประชุมในวิทยาเขต</t>
  </si>
  <si>
    <t>1 ชั่วโมงประชุม</t>
  </si>
  <si>
    <t xml:space="preserve">       3.3.2  ประชุมนอกวิทยาเขต</t>
  </si>
  <si>
    <t>+ เพิ่ม 30% กรณีเดินทางไปประชุมนอกวิทยาเขต</t>
  </si>
  <si>
    <t>1 เรื่อง / 1 โครงการ</t>
  </si>
  <si>
    <t>คิด 5 ชม./เรื่อง  (= 5/3/15)</t>
  </si>
  <si>
    <t>1 บทความ</t>
  </si>
  <si>
    <t>คิด 4 ชม./เรื่อง</t>
  </si>
  <si>
    <t>+เพิ่ม25%ของในประเทศ</t>
  </si>
  <si>
    <t>1 เล่ม</t>
  </si>
  <si>
    <t>คิด 10 ชม./เล่ม</t>
  </si>
  <si>
    <t>1 โครงการ</t>
  </si>
  <si>
    <t>คิด 2 ชม./โครงการ</t>
  </si>
  <si>
    <t>1 ราย</t>
  </si>
  <si>
    <t>คิด 13 ชม./ราย</t>
  </si>
  <si>
    <t>คิด 18 ชม./ราย</t>
  </si>
  <si>
    <t>คิด 30 ชม./ราย</t>
  </si>
  <si>
    <t>1 เรื่อง/บทความ</t>
  </si>
  <si>
    <t>คิด 1 ชม./เรื่อง</t>
  </si>
  <si>
    <t>คิด 6 ชม./เล่ม เฉพาะบรรณาธิการวารสาร</t>
  </si>
  <si>
    <t>1 หน้า</t>
  </si>
  <si>
    <t>คิด 3 ชม./หน้า</t>
  </si>
  <si>
    <t>1 เรื่อง</t>
  </si>
  <si>
    <t>คิด 3 ชม./เรื่อง</t>
  </si>
  <si>
    <t>ในประเทศ 1 โครงการ</t>
  </si>
  <si>
    <t>ก่อนเริ่มโครงการ</t>
  </si>
  <si>
    <t>weight เป็น % กรณีผู้จัดงาน &gt;1 คน</t>
  </si>
  <si>
    <t>ระหว่างอบรม สัมมนาจริง</t>
  </si>
  <si>
    <t>(ไม่รวมผู้บริหาร)</t>
  </si>
  <si>
    <t>1 ชม.อบรม/สัมมนาจริง</t>
  </si>
  <si>
    <t>คิด= 1 ชม.ทำงาน, จำนวนชั่วโมงคิดตามระยะเวลาที่จัดจริง</t>
  </si>
  <si>
    <t>นานาชาติ 1 โครงการ</t>
  </si>
  <si>
    <t>(ที่เป็นทางการ)</t>
  </si>
  <si>
    <t>ระหว่างอบรม สัมมนา</t>
  </si>
  <si>
    <t>1 ชม.ประชุมวิชาการ</t>
  </si>
  <si>
    <t>คิด= 1 ชม.ทำงาน, จำนวน ชม. คิดตามระยะเวลาที่จัดจริง</t>
  </si>
  <si>
    <t>weight เป็น % กรณีผู้จัดงาน &gt;1 คน    (ไม่รวมผู้บริหาร)</t>
  </si>
  <si>
    <t>คิด= 1 ชม.ทำงาน, จำนวนชม.คิดตามระยะเวลาที่จัดจริง</t>
  </si>
  <si>
    <t>1 หน่วยงาน</t>
  </si>
  <si>
    <t>คิด 5 ชม./หน่วยงาน  คิดภาระงานไม่เกิน 2 หน่วยงาน (มีหลักฐานรับรองจากหน่วยงานทุกสิ้นปี )</t>
  </si>
  <si>
    <t xml:space="preserve"> กรณีไม่ได้รับค่าตอบแทน</t>
  </si>
  <si>
    <t>1 ชั่วโมงทำงานจริง</t>
  </si>
  <si>
    <t>จำนวนชั่วโมงคิดตามเวลาทำงานจริง</t>
  </si>
  <si>
    <t>1 ชั่วโมงปฎิบัติงาน</t>
  </si>
  <si>
    <t>คิด 30% ของภาระงานสอนปกติ</t>
  </si>
  <si>
    <t>ภาระงานบริการวิชาการที่ไม่ได้ระบุในที่นี้ให้คณะเสนอต่อมหาวิทยาลัย</t>
  </si>
  <si>
    <t>หมายเหตุ  1. เกณฑ์การคิด load unit   ภาระงานบริการวิชาการ(ไม่ได้รับค่าตอบแทน) 3 ชั่วโมง คิดเท่ากับ งานสอนบรรยาย 1 ชั่วโมง</t>
  </si>
  <si>
    <t xml:space="preserve">                    หรือ เท่ากับ จำนวนชั่วโมงที่ให้บริการ หาร 3 หาร 15 เป็น  Load unit    </t>
  </si>
  <si>
    <t xml:space="preserve">                2. รวบรวมและคำนวณข้อมูลเป็นรายภาคการศึกษา</t>
  </si>
  <si>
    <t xml:space="preserve">                3. คิดตามระยะเวลาโครงการ</t>
  </si>
  <si>
    <t xml:space="preserve">ปริมาณงาน </t>
  </si>
  <si>
    <t xml:space="preserve">4. ภาระงานอื่นๆ </t>
  </si>
  <si>
    <t>1 ชมรม/ภาคการศึกษา</t>
  </si>
  <si>
    <t>คิดภาระงาน 22.5 ชั่วโมง/ภาคเรียน หรือ 50 ชั่วโมง/ปี</t>
  </si>
  <si>
    <t xml:space="preserve">1 ปีการศึกษา  </t>
  </si>
  <si>
    <t>ค. ภาระงานของผู้บริหาร</t>
  </si>
  <si>
    <t xml:space="preserve">อธิการบดี </t>
  </si>
  <si>
    <t xml:space="preserve">คิดภาระงานเท่ากับ 100%  </t>
  </si>
  <si>
    <t xml:space="preserve">รองอธิการบดี  คณบดี   ผู้อำนวยการศูนย์/สำนัก  (ตำแหน่งที่ภาระงานบริหารเทียบเท่าคณบดี)                                             </t>
  </si>
  <si>
    <t xml:space="preserve">คิดภาระงานเท่ากับ 90%  (10% ที่เหลือเลือกทำภาระงานสอน หรือ วิจัย)                                                                                     </t>
  </si>
  <si>
    <t>4.3 เป็นผู้บริหาร</t>
  </si>
  <si>
    <t>4.3.1 อธิการบดี</t>
  </si>
  <si>
    <t xml:space="preserve">คิดภาระงาน = 100% = 35 ชม.ทำการ/สัปดาห์    </t>
  </si>
  <si>
    <t xml:space="preserve">4.3.2 รองอธิการบดี  คณบดี ผู้อำนวยการศูนย์/สำนัก (ตำแหน่งที่ภาระงานบริหารเทียบเท่าคณบดี)  </t>
  </si>
  <si>
    <t>คิดภาระงาน = 85% = 30 ชม.ทำการ/สัปดาห์ (15% ที่เหลือ เลือกทำภาระงานสอนหรือวิจัย)</t>
  </si>
  <si>
    <t xml:space="preserve">4.3.3 ผู้ช่วยอธิการบดี / รองคณบดี / รองผอ.ศูนย์/สำนัก (ตำแหน่งที่ภาระงานบริหารเทียบเท่า)  </t>
  </si>
  <si>
    <t xml:space="preserve">คิดภาระงาน = 60% = 20 ชม.ทำการ/สัปดาห์ (40% ที่เหลือ เลือกทำภาระงานสอน วิจัย หรือบริการวิชาการ)         </t>
  </si>
  <si>
    <t>4.3.4 ผู้ช่วยคณบดี  ประธานหลักสูตร (ตำแหน่งอื่น ๆ ที่ภาระงานบริหารเทียบเท่า)</t>
  </si>
  <si>
    <t xml:space="preserve">คิดภาระงาน = 30% = 10 ชม.ทำการ/สัปดาห์ (70% ที่เหลือ เลือกทำภาระงานสอน วิจัย หรือบริการวิชาการ)           </t>
  </si>
  <si>
    <t>50% ของภาระงานประธานหลักสูตร</t>
  </si>
  <si>
    <t>4.4 คณะกรรมการที่หน่วยงานภายในแต่งตั้ง (กรรมการระดับภาควิชา/คณะ/ม.) ไม่รวมการเป็นกรรมการโดยตำแหน่งบริหาร</t>
  </si>
  <si>
    <t>4.4.1 ประชุมภายในวิทยาเขต</t>
  </si>
  <si>
    <t>กรณีที่ กรรมการต้องเข้าประชุมมากกว่า 1 ที่พร้อมกัน ไม่นับซ้ำเป็น 2 ชั่วโมง ให้เลือกตอบที่เดียว</t>
  </si>
  <si>
    <t>1 ชั่วโมงประชุมจริง</t>
  </si>
  <si>
    <t>วันละ &lt; 6 ชม.</t>
  </si>
  <si>
    <t>4.4.2 ประชุมต่างวิทยาเขต</t>
  </si>
  <si>
    <t>+ เพิ่ม 30% กรณีเดินทางไป</t>
  </si>
  <si>
    <t>4.5.1 ประธานสภาคณาจารย์ ม.</t>
  </si>
  <si>
    <t>คิดภาระตามชั่วโมงประชุม</t>
  </si>
  <si>
    <t>เกี่ยวข้องกับงานทำนุบำรุง</t>
  </si>
  <si>
    <t xml:space="preserve">1เรื่อง/ 1ครั้ง </t>
  </si>
  <si>
    <t>ศิลปวัฒนธรรม</t>
  </si>
  <si>
    <t>ภาระงานที่ไม่ได้ระบุในที่นี้ให้คณะเสนอต่อมหาวิทยาลัย</t>
  </si>
  <si>
    <t>3 x 1.00 =  3</t>
  </si>
  <si>
    <t>3 x 1.00 x 0.75 =  2.25</t>
  </si>
  <si>
    <t>ค่าถ่วงน้ำหนัก</t>
  </si>
  <si>
    <r>
      <t xml:space="preserve">ภาคปฏิบัติ ป ตรี </t>
    </r>
    <r>
      <rPr>
        <b/>
        <i/>
        <sz val="10"/>
        <color indexed="10"/>
        <rFont val="Arial"/>
        <family val="2"/>
      </rPr>
      <t>(สังคมศาสตร์/มนุษยศาสตร์)</t>
    </r>
  </si>
  <si>
    <t>การเป็นกรรมการสอบดุษฎีนิพนธ์/วิทยานิพนธ์ ให้หน่วยงานภายนอก</t>
  </si>
  <si>
    <t>กรรมการสอบ (กรณีที่ไม่ใช่ประธานกรรมการและกรรมการที่ปรึกษา และเป็นการสอบภายในมหาวิทยาลัย)</t>
  </si>
  <si>
    <t>อาจารย์ที่ปรึกษา</t>
  </si>
  <si>
    <t>กรรมการที่ปรึกษา</t>
  </si>
  <si>
    <t>ผู้ประสานงานรายวิชา</t>
  </si>
  <si>
    <t>อาจารย์ที่ปรึกษาวิชาสัมมนา</t>
  </si>
  <si>
    <t>นิเทศฝึกงานในวิชาเรียนรู้อิสระ (ถ้ามี)</t>
  </si>
  <si>
    <t>ผู้ประสานงานรายวิชา/กรรมการประสานงาน</t>
  </si>
  <si>
    <t>1.2  การสอนแบบ PBL (ตัดออก)</t>
  </si>
  <si>
    <t>นวัตกรรม/สิ่งประดิษฐ์/งานสร้างสรรค์</t>
  </si>
  <si>
    <t>ชั่วโมงทำงานจริง/</t>
  </si>
  <si>
    <t>จำนวนสถาน</t>
  </si>
  <si>
    <t>ประกอบการ</t>
  </si>
  <si>
    <t>การวิจัยในชั้นเรียน (ที่หน่วยงานต้นสังกัดรับรอง)</t>
  </si>
  <si>
    <t>ผู้ประสานงานรายวิชา (ที่ไม่ใช่วิชาโครงงาน/ สัมมนา /ฝึกงาน)</t>
  </si>
  <si>
    <t>จำนวนชุด</t>
  </si>
  <si>
    <t>โครงการวิจัย</t>
  </si>
  <si>
    <t>(กรอกเลข 1 ใน</t>
  </si>
  <si>
    <t>ช่องที่มีข้อมูล)</t>
  </si>
  <si>
    <r>
      <t xml:space="preserve">นำเสนอในระดับชาติ  </t>
    </r>
    <r>
      <rPr>
        <sz val="10"/>
        <color indexed="10"/>
        <rFont val="Arial"/>
        <family val="2"/>
      </rPr>
      <t xml:space="preserve">* การนำเสนอในที่ประชุมระดับอื่นๆ ให้คิดเทียบเท่าระดับชาติ </t>
    </r>
  </si>
  <si>
    <t>ลำดับ/ชิ้นที่ 9</t>
  </si>
  <si>
    <t>ลำดับ/ชิ้นที่ 10</t>
  </si>
  <si>
    <t>(ระหว่าง 22.5 - 120)</t>
  </si>
  <si>
    <t>จำนวนสิทธิบัตร</t>
  </si>
  <si>
    <t>จำนวนวัน</t>
  </si>
  <si>
    <t>……..ชื่อหัวข้อ……</t>
  </si>
  <si>
    <t xml:space="preserve">รวมจำนวนชั่วโมงการให้บริการวิชาการที่ทำในลักษณะ Consultant (มีลักษณะเหมือนงานวิจัย) </t>
  </si>
  <si>
    <t>มีลักษณะเหมือนงานวิจัย และระบุจำนวนเงิน</t>
  </si>
  <si>
    <t>ที่ปรึกษาอื่นๆ และไม่ระบุจำนวนเงิน</t>
  </si>
  <si>
    <t>แต่งกายพื้นเมือง (นับไม่เกิน 15 ครั้ง)</t>
  </si>
  <si>
    <t xml:space="preserve">กิจกรรมทำนุบำรุงศิลปะวัฒนธรรมที่จัดโดยคณะ/มหาวิทยาลัย เช่น การแต่งกายพื้นเมืองทุกวันศุกร์ พิธีไหว้ครู รดน้ำดำหัว ทอดผ้าป่า แห่เทียนพรรษา พิธีเกษียณอายุ การเข้าร่วมงานพระราชพิธีต่างๆ เป็นต้น หรือเป็นกิจกรรมทางศาสนาอื่นๆ เช่น การเข้าโบสถ์  การถือศีลอด การตักบาตร เป็นต้น ที่ได้เข้าร่วม โดยไม่จำเป็นต้องมีหลักฐานใดๆ แต่ขอให้เป็นการปฏิบัติจริง </t>
  </si>
  <si>
    <t>กิจกรรมที่ 1</t>
  </si>
  <si>
    <t>กิจกรรมที่ 2</t>
  </si>
  <si>
    <t>กิจกรรมที่ 3</t>
  </si>
  <si>
    <t>กิจกรรมที่ 4</t>
  </si>
  <si>
    <t>กิจกรรมที่ 5</t>
  </si>
  <si>
    <t>กิจกรรมที่ 6</t>
  </si>
  <si>
    <t>กิจกรรมที่ 7</t>
  </si>
  <si>
    <t>กิจกรรมที่ 8</t>
  </si>
  <si>
    <t>กิจกรรมที่ 9</t>
  </si>
  <si>
    <t>กิจกรรมที่ 10</t>
  </si>
  <si>
    <t xml:space="preserve">กิจกรรมทางศาสนาอื่นๆ </t>
  </si>
  <si>
    <t>ประธานสภาข้าราชการและลูกจ้าง</t>
  </si>
  <si>
    <t>รองผอ.ศูนย์/สำนัก/สถาบัน……………………………………………..</t>
  </si>
  <si>
    <t>ผู้อำนวยการศูนย์/สำนัก/สถาบัน ……………………………………………</t>
  </si>
  <si>
    <t>(มีนักศึกษามากกว่าหรือเท่ากับ 1 คน ให้ 15 ชั่วโมงทำการต่อภาคการศึกษา)</t>
  </si>
  <si>
    <r>
      <t xml:space="preserve">ภาคปฏิบัติ ป ตรี </t>
    </r>
    <r>
      <rPr>
        <b/>
        <i/>
        <sz val="10"/>
        <color indexed="10"/>
        <rFont val="Arial"/>
        <family val="2"/>
      </rPr>
      <t>(</t>
    </r>
    <r>
      <rPr>
        <b/>
        <i/>
        <sz val="10"/>
        <color indexed="10"/>
        <rFont val="Arial"/>
        <family val="2"/>
      </rPr>
      <t>วิทยาศาสตร์และเทคโนโลยี/วิชาชีพเฉพาะ</t>
    </r>
    <r>
      <rPr>
        <b/>
        <i/>
        <sz val="10"/>
        <color indexed="10"/>
        <rFont val="Arial"/>
        <family val="2"/>
      </rPr>
      <t>)</t>
    </r>
  </si>
  <si>
    <r>
      <t>วิชาโครงงาน  (project) /งานวิจัยนศ.ป.ตรี/ ปัญหาพิเศษ /การเรียนรู้อิสระ /</t>
    </r>
    <r>
      <rPr>
        <b/>
        <sz val="13"/>
        <color indexed="17"/>
        <rFont val="Arial"/>
        <family val="2"/>
      </rPr>
      <t>วิทยานิพนธ์ (ป.ตรี)</t>
    </r>
  </si>
  <si>
    <r>
      <t xml:space="preserve">สหกิจศึกษา </t>
    </r>
    <r>
      <rPr>
        <b/>
        <sz val="14"/>
        <color indexed="17"/>
        <rFont val="Arial"/>
        <family val="2"/>
      </rPr>
      <t>(ในประเทศ และต่างประเทศ)</t>
    </r>
  </si>
  <si>
    <r>
      <t xml:space="preserve">วิชาฝึกงาน </t>
    </r>
    <r>
      <rPr>
        <b/>
        <sz val="14"/>
        <color indexed="17"/>
        <rFont val="Arial"/>
        <family val="2"/>
      </rPr>
      <t>(มีการลงทะเบียนเรียน</t>
    </r>
    <r>
      <rPr>
        <b/>
        <sz val="14"/>
        <color indexed="17"/>
        <rFont val="Arial"/>
        <family val="2"/>
      </rPr>
      <t>)</t>
    </r>
  </si>
  <si>
    <r>
      <t xml:space="preserve">ภาคปฏิบัติ ป โท-เอก </t>
    </r>
    <r>
      <rPr>
        <b/>
        <i/>
        <sz val="10"/>
        <color indexed="10"/>
        <rFont val="Arial"/>
        <family val="2"/>
      </rPr>
      <t>(สังคมศาสตร์/มนุษยศาสตร์)</t>
    </r>
  </si>
  <si>
    <r>
      <t xml:space="preserve">ภาคปฏิบัติ ป โท-เอก </t>
    </r>
    <r>
      <rPr>
        <b/>
        <i/>
        <sz val="10"/>
        <color indexed="10"/>
        <rFont val="Arial"/>
        <family val="2"/>
      </rPr>
      <t>(</t>
    </r>
    <r>
      <rPr>
        <b/>
        <i/>
        <sz val="10"/>
        <color indexed="10"/>
        <rFont val="Arial"/>
        <family val="2"/>
      </rPr>
      <t>วิทยาศาสตร์และเทคโนโลยี/วิชาชีพเฉพาะ</t>
    </r>
    <r>
      <rPr>
        <b/>
        <i/>
        <sz val="10"/>
        <color indexed="10"/>
        <rFont val="Arial"/>
        <family val="2"/>
      </rPr>
      <t>)</t>
    </r>
  </si>
  <si>
    <r>
      <t xml:space="preserve">งานคุมสอบตามคำสั่งแต่งตั้งของมหาวิทยาลัย       </t>
    </r>
    <r>
      <rPr>
        <sz val="10"/>
        <color indexed="53"/>
        <rFont val="Tahoma"/>
        <family val="2"/>
      </rPr>
      <t>(ไม่คิดภาระงานในวิชาที่ตนเองเป็นผู้สอน)</t>
    </r>
  </si>
  <si>
    <t>งานคุมสอบตามคำสั่งแต่งตั้งของมหาวิทยาลัย</t>
  </si>
  <si>
    <t>วิชาโครงงาน  (project) /งานวิจัยนศ.ป.ตรี/ ปัญหาพิเศษ /การเรียนรู้อิสระ /วิทยานิพนธ์ (ป.ตรี)</t>
  </si>
  <si>
    <t>สหกิจศึกษา (ในประเทศ และต่างประเทศ)</t>
  </si>
  <si>
    <t>วิชาฝึกงาน (มีการลงทะเบียนเรียน)</t>
  </si>
  <si>
    <t>ปี</t>
  </si>
  <si>
    <t>จำนวน paper</t>
  </si>
  <si>
    <t>คู่มือต่างๆ/Monograph</t>
  </si>
  <si>
    <t>Virtual classroom / สื่อการเรียนการสอนออนไลน์</t>
  </si>
  <si>
    <t xml:space="preserve">งานวิจัยที่ไม่ได้รับทุน </t>
  </si>
  <si>
    <t>ประชุม</t>
  </si>
  <si>
    <t>ทำงาน</t>
  </si>
  <si>
    <t>จำนวนเรื่อง/โครงการ</t>
  </si>
  <si>
    <t>จำนวนโครงการ</t>
  </si>
  <si>
    <t>จำนวนบุคคล</t>
  </si>
  <si>
    <t>ที่พิจารณา</t>
  </si>
  <si>
    <t>จำนวนชั่วโมงอบรม/สัมมนาจริง</t>
  </si>
  <si>
    <t>จำนวนชั่วโมงประชุม</t>
  </si>
  <si>
    <t>ทำงานจริง</t>
  </si>
  <si>
    <t>ยอดเงินวิจัย</t>
  </si>
  <si>
    <t>โครงการวิจัยที่ 1</t>
  </si>
  <si>
    <t>โครงการวิจัยที่ 2</t>
  </si>
  <si>
    <t>โครงการวิจัยที่ 3</t>
  </si>
  <si>
    <t>โครงการวิจัยที่ 4</t>
  </si>
  <si>
    <t>โครงการวิจัยที่ 5</t>
  </si>
  <si>
    <t>โครงการบริการวิชาการ ทางวิทยาศาสตร์เทคโนโลยีและวิทยาศาสตร์สุขภาพ</t>
  </si>
  <si>
    <r>
      <t>โครงการบริการวิชาการ ทาง</t>
    </r>
    <r>
      <rPr>
        <b/>
        <i/>
        <sz val="10"/>
        <color indexed="12"/>
        <rFont val="Arial"/>
        <family val="2"/>
      </rPr>
      <t>สังคมศาสตร์</t>
    </r>
  </si>
  <si>
    <t>ปฏิบัติงาน</t>
  </si>
  <si>
    <t>สอน</t>
  </si>
  <si>
    <t>……..ชื่อกิจกรรม……</t>
  </si>
  <si>
    <t>นักศึกษา</t>
  </si>
  <si>
    <t>จำนวนชมรม</t>
  </si>
  <si>
    <t>คณะกรรมการที่หน่วยงานภายในแต่งตั้ง (หลักสูตร/คณะ/ม.) ไม่รวมการเป็นกรรมการโดยตำแหน่งบริหาร</t>
  </si>
  <si>
    <t>จริง</t>
  </si>
  <si>
    <t>ชั่วโมงประชุม</t>
  </si>
  <si>
    <t>ชั่วโมงทำงาน</t>
  </si>
  <si>
    <t>จำนวนครั้ง/</t>
  </si>
  <si>
    <t>ผู้ช่วยอธิการบดี</t>
  </si>
  <si>
    <t>มาตรฐานภาระงานของข้าราชการและพนักงานมหาวิทยาลัยสายวิชาการ มหาวิทยาลัยแม่โจ้</t>
  </si>
  <si>
    <t xml:space="preserve">   1.11  ภาระงานของอาจารย์ที่ปรึกษาดุษฎีนิพนธ์/วิทยานิพนธ์/การค้นคว้าอิสระ/ปัญหาพิเศษ/สหกิจศึกษา ให้คิดภาระงานดังนี้ </t>
  </si>
  <si>
    <t xml:space="preserve">   สังคมศาสตร์/มนุษยศาสตร์</t>
  </si>
  <si>
    <t xml:space="preserve">   วิทยาศาสตร์และเทคโนโลยี/วิชาชีพเฉพาะ    </t>
  </si>
  <si>
    <t xml:space="preserve">       1.2.3 กรรมการสอบดุษฎีนิพนธ์               (ยกเว้นอาจารย์ที่ปรึกษาดุษฎีนิพนธ์) </t>
  </si>
  <si>
    <t xml:space="preserve">       1.2.4 กรรมการพิจารณาโครงร่าง</t>
  </si>
  <si>
    <t>0.5 ชม.ทำการ</t>
  </si>
  <si>
    <t>0.25 ชม.ทำการ</t>
  </si>
  <si>
    <t>1.3.1 อาจารย์ที่ปรึกษาโครงงาน 1 โครงการ</t>
  </si>
  <si>
    <t xml:space="preserve">1.4 วิชาสัมมนา </t>
  </si>
  <si>
    <t>1.4.2 กรรมการสอบ</t>
  </si>
  <si>
    <t>1.4.3 ผู้ประสานงาน/ผู้จัดการ</t>
  </si>
  <si>
    <t>1.5.1 ประธานที่ปรึกษา</t>
  </si>
  <si>
    <t>นักศึกษา 1  คน</t>
  </si>
  <si>
    <t>1.3.2 กรรมการที่ปรึกษาโครงงาน 1 โครงการ</t>
  </si>
  <si>
    <t>1.3.4 ผู้ประสานงานรายวิชา</t>
  </si>
  <si>
    <t>1.3.5 นิเทศฝึกงานในวิชาเรียนรู้อิสระ</t>
  </si>
  <si>
    <t xml:space="preserve">       (ถ้ามี)</t>
  </si>
  <si>
    <t>1 สถานประกอบการ</t>
  </si>
  <si>
    <t xml:space="preserve">คิด = 1 ชั่วโมงสอนสัมมนา/สป. </t>
  </si>
  <si>
    <t>1.5  สหกิจศึกษา (ในประเทศ/ต่างประเทศ)</t>
  </si>
  <si>
    <t xml:space="preserve">1.5.2 กรรมการที่ปรึกษา   </t>
  </si>
  <si>
    <t>ประธานที่ปรึกษา</t>
  </si>
  <si>
    <t xml:space="preserve">1.5.3 อาจารย์นิเทศนศ.ฝึกงาน/สหกิจ      </t>
  </si>
  <si>
    <t>5 ชม.ทำการ</t>
  </si>
  <si>
    <t>1.5.4 ผู้ประสานงานรายวิชา</t>
  </si>
  <si>
    <t xml:space="preserve">    1 ชม.ทำการ     0.5 ชม.ทำการ</t>
  </si>
  <si>
    <t>1.6  วิชาฝึกงาน</t>
  </si>
  <si>
    <t xml:space="preserve">1.6.1 อาจารย์นิเทศนศ.ฝึกงาน/สหกิจ      </t>
  </si>
  <si>
    <t>1.6.2 ผู้ประสานงานรายวิชา/กรรมการ           ประสานงาน</t>
  </si>
  <si>
    <t>มีการรับรองจากต้นสังกัด</t>
  </si>
  <si>
    <t>3 ชม.คุมสอบ = 1 ชม.ปฏิบัติกายภาพ   (คิด</t>
  </si>
  <si>
    <t>เฉพาะสอบ midterm และ final)</t>
  </si>
  <si>
    <t xml:space="preserve">       มหาวิทยาลัย (ไม่คิดภาระงานในวิชา</t>
  </si>
  <si>
    <t xml:space="preserve">       ตนเองเป็นผู้สอน)</t>
  </si>
  <si>
    <t>8 ชั่วโมงทำการ</t>
  </si>
  <si>
    <t xml:space="preserve">       เรียนการสอนออนไลน์</t>
  </si>
  <si>
    <t xml:space="preserve">         งานสร้างสรรค์</t>
  </si>
  <si>
    <t>ผลงาน 1 ชิ้น</t>
  </si>
  <si>
    <t>3.4 การเป็นกรรมการสอบดุษฎีนิพนธ์/วิทยานิพนธ์ ให้หน่วยงานภายนอก</t>
  </si>
  <si>
    <t>1 ชั่วโมงทำงาน/ 1 จำนวนครั้ง</t>
  </si>
  <si>
    <t>3.6 อาจารย์พี่เลี้ยง (mentor)</t>
  </si>
  <si>
    <t>3.7 ที่ปรึกษาผลงานวิชาการ</t>
  </si>
  <si>
    <t>3.8 พิจารณาบทความ</t>
  </si>
  <si>
    <t xml:space="preserve">3.9 พิจารณารายงานวิจัยฉบับสมบรูณ์ </t>
  </si>
  <si>
    <t>3.10 พิจารณาข้อเสนอโครงการวิจัย</t>
  </si>
  <si>
    <t>3.11 พิจารณาผลงานทางวิชาการ</t>
  </si>
  <si>
    <t xml:space="preserve">      3.11.1 เพื่อประเมิน ผศ.</t>
  </si>
  <si>
    <t xml:space="preserve">      3.11.2 เพื่อประเมิน รศ.</t>
  </si>
  <si>
    <t xml:space="preserve">      3.11.3 เพื่อประเมิน ศ.</t>
  </si>
  <si>
    <t>3.12 จัดทำบทวิทยุ</t>
  </si>
  <si>
    <t>3.13 จัดทำวารสารทางวิชาการ</t>
  </si>
  <si>
    <t>3.14 จัดทำเอกสารแปล/งานแปล</t>
  </si>
  <si>
    <t>3.15 เขียนบทความทางวิชาการลงเผยแพร่สื่อระดับชาติ</t>
  </si>
  <si>
    <t>3.16 จัดทำเอกสารเผยแพร่ความรู้ทางวิชาการ</t>
  </si>
  <si>
    <t>3.17 การจัดฝึกอบรม สัมมนา ฯ</t>
  </si>
  <si>
    <t xml:space="preserve">3.18 การจัดประชุมวิชาการ ฯ </t>
  </si>
  <si>
    <t>3.19 ที่ปรึกษาหน่วยงานของรัฐ/ กลุ่ม ชุมชนท้องถิ่น (มีหนังสือเชิญจากหน่วยงาน)</t>
  </si>
  <si>
    <t xml:space="preserve">3.20 งานวิเคราะห์ ทดสอบ ฯ   </t>
  </si>
  <si>
    <t>มีการระบุชัดเจนในสัญญาว่าเป็นที่ปรึกษา และเป็นคู่สัญญา</t>
  </si>
  <si>
    <t>กับมหาวิทยาลัย</t>
  </si>
  <si>
    <t>3.23 การให้บริการวิชาการที่ทำในลักษณะ         Consultant</t>
  </si>
  <si>
    <t>50% ของภาระงานวิจัย (ระบุจำนวนเงินในสัญญา)</t>
  </si>
  <si>
    <t xml:space="preserve">      3.23.1 มีลักษณะเหมือนงานวิจัย และ                ระบุจำนวนเงิน</t>
  </si>
  <si>
    <t xml:space="preserve">      3.23.2 ที่ปรึกษาอื่นๆ และไม่ระบุ                       จำนวนเงินวิจัย</t>
  </si>
  <si>
    <t>1 ครั้ง</t>
  </si>
  <si>
    <t>3.24 การออกให้บริการชุมชน พัฒนาชุมชน</t>
  </si>
  <si>
    <t>3.26 ภาระงานให้บริการอื่นๆ นอกเหนือจากที่ระบุข้างต้น</t>
  </si>
  <si>
    <t>= ภาระงาน 15 ชั่วโมง/ภาคเรียน</t>
  </si>
  <si>
    <t>4.5 งานสภามหาวิทยาลัย/</t>
  </si>
  <si>
    <t>สภาคณาจารย์/สภา</t>
  </si>
  <si>
    <t>4.5.3 รองประธานสภาคณาจารย์</t>
  </si>
  <si>
    <t>4.5.4 ตัวแทนสภามหาวิทยาลัย</t>
  </si>
  <si>
    <t>4.5.5 ตัวแทนสภาคณาจารย์ ม.</t>
  </si>
  <si>
    <t xml:space="preserve">หมายเหตุ  </t>
  </si>
  <si>
    <t>ภาระงานอื่นๆ</t>
  </si>
  <si>
    <t>……..ชื่อชมรม/หอพัก……</t>
  </si>
  <si>
    <t>ภาระงานอื่น</t>
  </si>
  <si>
    <t xml:space="preserve">คณะกรรมการที่หน่วยงานภายในแต่งตั้ง </t>
  </si>
  <si>
    <t>การจัดทำโครงการที่เกี่ยวข้องกับสมรรถนะฯ</t>
  </si>
  <si>
    <t>ชั่วโมงทำการต่อสัปดาห์</t>
  </si>
  <si>
    <t>การเป็นการเป็นผู้ช่วยวิทยากร</t>
  </si>
  <si>
    <t xml:space="preserve">มหาวิทยาลัยแม่โจ้ </t>
  </si>
  <si>
    <t>รวม</t>
  </si>
  <si>
    <t>ชั่วโมงทำการ
ต่อสัปดาห์</t>
  </si>
  <si>
    <t>ชั่วโมงทำการ</t>
  </si>
  <si>
    <t xml:space="preserve"> </t>
  </si>
  <si>
    <t>หน่วย</t>
  </si>
  <si>
    <t>ชั่วโมง/สัปดาห์</t>
  </si>
  <si>
    <t>ข้อ</t>
  </si>
  <si>
    <t>วิชาที่ 1</t>
  </si>
  <si>
    <t>วิชาที่ 2</t>
  </si>
  <si>
    <t>วิชาที่ 3</t>
  </si>
  <si>
    <t>วิชาที่ 4</t>
  </si>
  <si>
    <t>……..ชื่อวิชา……</t>
  </si>
  <si>
    <t>หมายเหตุ</t>
  </si>
  <si>
    <t>อธิการบดี</t>
  </si>
  <si>
    <t>ประธานสภาคณาจารย์</t>
  </si>
  <si>
    <t>รองประธานสภาคณาจารย์</t>
  </si>
  <si>
    <t>ตำแหน่ง</t>
  </si>
  <si>
    <t>สัดส่วน</t>
  </si>
  <si>
    <t>ภาคบรรยาย ป โท-เอก</t>
  </si>
  <si>
    <t>ภาคบรรยาย ป ตรี  (221-280 คน)</t>
  </si>
  <si>
    <t>กลุ่มงาน</t>
  </si>
  <si>
    <t>จัดทำบทวิทยุ</t>
  </si>
  <si>
    <t>จัดทำวารสารทางวิชาการ</t>
  </si>
  <si>
    <t>การให้บริการวิชาการที่ทำในลักษณะ Consultant</t>
  </si>
  <si>
    <t>ชั่วโมงทำการต่อภาคการศึกษา</t>
  </si>
  <si>
    <t>ปริญญาตรี</t>
  </si>
  <si>
    <t>หมวดวิชาศึกษาทั่วไป</t>
  </si>
  <si>
    <t>บรรยาย</t>
  </si>
  <si>
    <t>ปฏิบัติการ</t>
  </si>
  <si>
    <t>หมวดวิชาแกน/เอก/โท/เอกเลือก/เลือกเสรี</t>
  </si>
  <si>
    <t>บัณฑิตศึกษา (โท-เอก)</t>
  </si>
  <si>
    <t>วิชาที่ 5</t>
  </si>
  <si>
    <t>ภาคบรรยาย ป ตรี  (101-160 คน)</t>
  </si>
  <si>
    <t>ภาคบรรยาย ป ตรี  (161-220 คน)</t>
  </si>
  <si>
    <t>ภาคบรรยาย ป ตรี  (281-340 คน)</t>
  </si>
  <si>
    <t>ภาคบรรยาย ป ตรี  (341-400 คน)</t>
  </si>
  <si>
    <t>ภาคบรรยาย ป ตรี  (401-460 คน)</t>
  </si>
  <si>
    <t>ภาคบรรยาย ป ตรี  (461-520 คน)</t>
  </si>
  <si>
    <t>ภาคบรรยาย ป ตรี  (521 คนขึ้นไป)</t>
  </si>
  <si>
    <t xml:space="preserve">ภาคบรรยาย ป ตรี (61 - 100 คน) </t>
  </si>
  <si>
    <t>ภาคบรรยาย ป ตรี  (341 ขึ้นไป)</t>
  </si>
  <si>
    <t>ภาคบรรยาย ป ตรี  (101-140 คน)</t>
  </si>
  <si>
    <t>ภาคบรรยาย ป ตรี  (181-220 คน)</t>
  </si>
  <si>
    <t>ภาคบรรยาย ป ตรี  (221-260 คน)</t>
  </si>
  <si>
    <t>ภาคบรรยาย ป ตรี  (261-300 คน)</t>
  </si>
  <si>
    <t>ภาคบรรยาย ป ตรี  (301-340)</t>
  </si>
  <si>
    <t xml:space="preserve">สอนหลักสูตรโครงการพิเศษ </t>
  </si>
  <si>
    <t>……..ชื่อโครงการ……</t>
  </si>
  <si>
    <t xml:space="preserve">สอนเป็นภาษาอังกฤษ (ยกเว้นรายวิชาที่สอนเกี่ยวกับภาษาอังกฤษ)    </t>
  </si>
  <si>
    <t>กรณีเดินทางไปสอนต่างวิทยาเขต</t>
  </si>
  <si>
    <t>ภาระงานดุษฎีนิพนธ์</t>
  </si>
  <si>
    <t>ภาระงานวิทยานิพนธ์</t>
  </si>
  <si>
    <t>ภาระงานสารนิพนธ์</t>
  </si>
  <si>
    <t>กรรมการสอบ</t>
  </si>
  <si>
    <t xml:space="preserve">ประธานที่ปรึกษาดุษฎีนิพนธ์  </t>
  </si>
  <si>
    <t xml:space="preserve">ประธานที่ปรึกษาสารนิพนธ์ </t>
  </si>
  <si>
    <t xml:space="preserve">กรรมการที่ปรึกษาสารนิพนธ์ </t>
  </si>
  <si>
    <t xml:space="preserve">   - สายวิทยาศาสตร์</t>
  </si>
  <si>
    <t xml:space="preserve">   - สายสังคมศาสตร์</t>
  </si>
  <si>
    <t>-</t>
  </si>
  <si>
    <t xml:space="preserve">วิชาสัมมนา </t>
  </si>
  <si>
    <t xml:space="preserve">ภาระงานสอนอื่นๆ </t>
  </si>
  <si>
    <t>ส่วนที่ 1 ภาระงานสอน  (ต่อภาคการศึกษา)</t>
  </si>
  <si>
    <t>ส่วนที่ 2 ภาระงานวิจัยและผลงานทางวิชาการอื่นๆ  (ต่อปีการศึกษา)</t>
  </si>
  <si>
    <t>งานวิจัยที่กำลังดำเนินงาน</t>
  </si>
  <si>
    <t>งานวิจัยที่ 1</t>
  </si>
  <si>
    <t>งานวิจัยที่ 2</t>
  </si>
  <si>
    <t>งานวิจัยที่ 3</t>
  </si>
  <si>
    <t>งานวิจัยที่ 4</t>
  </si>
  <si>
    <t>งานวิจัยที่ 5</t>
  </si>
  <si>
    <t>……..ชื่องานวิจัย……</t>
  </si>
  <si>
    <t>จำนวนเงิน/ปี</t>
  </si>
  <si>
    <t>จำนวนผู้วิจัย</t>
  </si>
  <si>
    <t>ชุดโครงการที่ 1</t>
  </si>
  <si>
    <t>ชุดโครงการที่ 2</t>
  </si>
  <si>
    <t>ชุดโครงการที่ 3</t>
  </si>
  <si>
    <t>ชุดโครงการที่ 4</t>
  </si>
  <si>
    <t>ชุดโครงการที่ 5</t>
  </si>
  <si>
    <t>……..ชื่อชุดโครงการวิจัย……</t>
  </si>
  <si>
    <t>งานวิจัยที่ไม่ได้รับทุน (มีการตรวจสอบโครงการจาก Peer และมีการติดตามผลการดำเนินงานจากคณะ)</t>
  </si>
  <si>
    <t>ผลงานทางวิชาการ</t>
  </si>
  <si>
    <t>ผลงานที่ 1</t>
  </si>
  <si>
    <t>ผลงานที่ 2</t>
  </si>
  <si>
    <t>ผลงานที่ 3</t>
  </si>
  <si>
    <t>ผลงานที่ 4</t>
  </si>
  <si>
    <t>ผลงานที่ 5</t>
  </si>
  <si>
    <t>……..ชื่อเรื่อง……</t>
  </si>
  <si>
    <t>……..ชื่อวารสาร……</t>
  </si>
  <si>
    <t>ตีพิมพ์ในวารสารระดับนานาชาติ (peered)</t>
  </si>
  <si>
    <t>บทความที่ 1</t>
  </si>
  <si>
    <t>บทความที่ 2</t>
  </si>
  <si>
    <t>บทความที่ 3</t>
  </si>
  <si>
    <t>บทความที่ 4</t>
  </si>
  <si>
    <t>บทความที่ 5</t>
  </si>
  <si>
    <t>……..ชื่อบทความ……</t>
  </si>
  <si>
    <t>ตำรา-หนังสือ</t>
  </si>
  <si>
    <t>เล่มที่ 1</t>
  </si>
  <si>
    <t>เล่มที่ 2</t>
  </si>
  <si>
    <t>เล่มที่ 3</t>
  </si>
  <si>
    <t>เล่มที่ 4</t>
  </si>
  <si>
    <t>เล่มที่ 5</t>
  </si>
  <si>
    <t>……..ชื่อ……</t>
  </si>
  <si>
    <t>เอกสารคำสอน-เอกสารประกอบการสอน</t>
  </si>
  <si>
    <t>……..ชื่อสิ่งประดิษฐ์……</t>
  </si>
  <si>
    <t>ลำดับที่ 1</t>
  </si>
  <si>
    <t>ลำดับที่ 2</t>
  </si>
  <si>
    <t>ลำดับที่ 3</t>
  </si>
  <si>
    <t>ลำดับที่ 4</t>
  </si>
  <si>
    <t>ลำดับที่ 5</t>
  </si>
  <si>
    <t>……..ชื่อสิทธิบัตร……</t>
  </si>
  <si>
    <t>……..ชื่อผลงาน……</t>
  </si>
  <si>
    <t>ผลงานที่ได้นำไปใช้ประโยชน์ต่อชุมชน (มีหลักฐานการใช้ประโยชน์จากชุมชน)</t>
  </si>
  <si>
    <t>การสอนบรรยายและคุมปฏิบัติการ ระดับปริญญาตรี</t>
  </si>
  <si>
    <t>รวมชั่วโมงหมวดวิชาศึกษาทั่วไป ภาคบรรยาย ป.ตรี ทั้งหมด</t>
  </si>
  <si>
    <t>รวมชั่วโมงหมวดวิชาศึกษาทั่วไป ภาคปฏิบัติ ป.ตรี ทั้งหมด</t>
  </si>
  <si>
    <t>รวมชั่วโมงหมวดวิชาแกน/เอก/โท/เอกเลือก/เลือกเสรี ภาคบรรยาย ป.ตรี ทั้งหมด</t>
  </si>
  <si>
    <t>รวมชั่วโมงหมวดวิชาแกน/เอก/โท/เอกเลือก/เลือกเสรี ภาคปฏิบัติ ป.ตรี ทั้งหมด</t>
  </si>
  <si>
    <t>การสอนบรรยายและคุมปฏิบัติการ</t>
  </si>
  <si>
    <t>1) หมวดวิชาศึกษาทั่วไป (ภาคบรรยาย)</t>
  </si>
  <si>
    <t>จำนวน</t>
  </si>
  <si>
    <t>Section</t>
  </si>
  <si>
    <t>ภาคการศึกษา</t>
  </si>
  <si>
    <t>ชั่วโมงทำการ/</t>
  </si>
  <si>
    <t>สัปดาห์</t>
  </si>
  <si>
    <t>2) หมวดวิชาศึกษาทั่วไป (ภาคปฏิบัติ)</t>
  </si>
  <si>
    <t>3) หมวดวิชาแกน/เอก/โท/เอกเลือก/เลือกเสรี (ภาคบรรยาย)</t>
  </si>
  <si>
    <t>4) หมวดวิชาแกน/เอก/โท/เอกเลือก/เลือกเสรี (ภาคปฏิบัติ)</t>
  </si>
  <si>
    <t>การสอนบรรยายและคุมปฏิบัติการ ระดับบัณฑิตศึกษา</t>
  </si>
  <si>
    <t>รวมชั่วโมงภาคบรรยายระดับบัณฑิตศึกษา ทั้งหมด</t>
  </si>
  <si>
    <t>รวมชั่วโมงภาคปฏิบัติระดับบัณฑิตศึกษา ทั้งหมด</t>
  </si>
  <si>
    <r>
      <t xml:space="preserve">ภาคบรรยาย ป ตรี (60 - 100 คน) </t>
    </r>
    <r>
      <rPr>
        <b/>
        <i/>
        <sz val="10"/>
        <color indexed="10"/>
        <rFont val="Arial"/>
        <family val="2"/>
      </rPr>
      <t>(เว้นแต่นักศึกษาลงทะเบียนไม่ถึง 60 คน)</t>
    </r>
  </si>
  <si>
    <r>
      <t xml:space="preserve">ภาคบรรยาย ป ตรี (30 - 60 คน) </t>
    </r>
    <r>
      <rPr>
        <b/>
        <i/>
        <sz val="10"/>
        <color indexed="10"/>
        <rFont val="Arial"/>
        <family val="2"/>
      </rPr>
      <t>(เว้นแต่นักศึกษาลงทะเบียนไม่ถึง 30 คน)</t>
    </r>
  </si>
  <si>
    <t>นักศึกษา (คน)</t>
  </si>
  <si>
    <t>ภาระงานดุษฎีนิพนธ์/ วิทยานิพนธ์/ สารนิพนธ์</t>
  </si>
  <si>
    <t>กรรมการที่ปรึกษาดุษฎีนิพนธ์</t>
  </si>
  <si>
    <t xml:space="preserve">ประธานที่ปรึกษาวิทยานิพนธ์ </t>
  </si>
  <si>
    <t xml:space="preserve">กรรมการที่ปรึกษาวิทยานิพนธ์   </t>
  </si>
  <si>
    <t xml:space="preserve">   </t>
  </si>
  <si>
    <t>กก.สอบวัดคุณสมบัติ ป.เอก</t>
  </si>
  <si>
    <t>ทั้งหมด/</t>
  </si>
  <si>
    <t>ทำงาน (%)</t>
  </si>
  <si>
    <t>รวมชั่วโมงภาระงานสอนอื่นๆ ทั้งหมด</t>
  </si>
  <si>
    <t>จำนวนชั่วโมง</t>
  </si>
  <si>
    <t>สัดส่วนงาน</t>
  </si>
  <si>
    <t xml:space="preserve"> (%)</t>
  </si>
  <si>
    <t>ทำการ/ภาค</t>
  </si>
  <si>
    <t>ทำการ/สัปดาห์</t>
  </si>
  <si>
    <t>รวมจำนวนภาระงานวิจัยที่ได้รับทุนทั้งหมด</t>
  </si>
  <si>
    <r>
      <t xml:space="preserve">ตีพิมพ์ในวารสารระดับชาติ (peered) </t>
    </r>
    <r>
      <rPr>
        <sz val="10"/>
        <color indexed="10"/>
        <rFont val="Arial"/>
        <family val="2"/>
      </rPr>
      <t>* การตีพิมพ์ในระดับอื่นๆ ให้คิดเทียบเท่าระดับชาติ</t>
    </r>
  </si>
  <si>
    <t>- บรรยาย</t>
  </si>
  <si>
    <t>- โปสเตอร์</t>
  </si>
  <si>
    <t>นำเสนอในระดับนานาชาติ</t>
  </si>
  <si>
    <t>รวมจำนวนภาระงานผลงานที่ตีพิมพ์/บทความวิจัยที่ตีพิมพ์ ทั้งหมด</t>
  </si>
  <si>
    <t>รวมจำนวนภาระงานผลงานวิจัยที่นำเสนอในที่ประชุมวิชาการ (Preceeding) ทั้งหมด</t>
  </si>
  <si>
    <t>ตีพิมพ์วารสารระดับชาติ</t>
  </si>
  <si>
    <t>ตีพิมพ์วารสารระดับนานาชาติ</t>
  </si>
  <si>
    <t>คำชี้แจง :</t>
  </si>
  <si>
    <t>รวมจำนวนภาระงานผลงานบทความทางวิชาการ ทั้งหมด</t>
  </si>
  <si>
    <t>ระดับชาติ</t>
  </si>
  <si>
    <t>ระดับนานาชาติ</t>
  </si>
  <si>
    <t>รวมจำนวนภาระงานผลงาน reviewed article ทั้งหมด</t>
  </si>
  <si>
    <t>สิทธิบัตร</t>
  </si>
  <si>
    <t>อนุสิทธิบัตร</t>
  </si>
  <si>
    <t>รวมจำนวนภาระงานสิทธิบัตร-อนุสิทธิบัตร ทั้งหมด</t>
  </si>
  <si>
    <t>ส่วนที่ 1 การคำนวนภาระงานสอน</t>
  </si>
  <si>
    <t>ส่วนที่ 2 การคำนวนภาระงานวิจัย</t>
  </si>
  <si>
    <t xml:space="preserve">ผลงานวิจัยที่ตีพิมพ์/บทความวิจัยที่ตีพิมพ์ (Publications) </t>
  </si>
  <si>
    <t>โครงการที่ 1</t>
  </si>
  <si>
    <t>โครงการที่ 2</t>
  </si>
  <si>
    <t>โครงการที่ 3</t>
  </si>
  <si>
    <t>โครงการที่ 4</t>
  </si>
  <si>
    <t>โครงการที่ 5</t>
  </si>
  <si>
    <t xml:space="preserve">การเป็นกรรมการที่แต่งตั้งโดยหน่วยงานภายนอกมหาวิทยาลัย </t>
  </si>
  <si>
    <t>ประชุมในวิทยาเขต</t>
  </si>
  <si>
    <t>คณะกรรมการที่ 1</t>
  </si>
  <si>
    <t>……..ชื่อคณะกรรมการ……</t>
  </si>
  <si>
    <t>คณะกรรมการที่ 2</t>
  </si>
  <si>
    <t>คณะกรรมการที่ 3</t>
  </si>
  <si>
    <t>คณะกรรมการที่ 4</t>
  </si>
  <si>
    <t>คณะกรรมการที่ 5</t>
  </si>
  <si>
    <t>ประชุมนอกวิทยาเขต</t>
  </si>
  <si>
    <t>จำนวนครั้ง</t>
  </si>
  <si>
    <t>ครั้งที่ 1</t>
  </si>
  <si>
    <t>ครั้งที่ 2</t>
  </si>
  <si>
    <t>ครั้งที่ 3</t>
  </si>
  <si>
    <t>ครั้งที่ 4</t>
  </si>
  <si>
    <t>ครั้งที่ 5</t>
  </si>
  <si>
    <t>……..ชื่อภารกิจ……</t>
  </si>
  <si>
    <t>อาจารย์พี่เลี้ยง (mentor)</t>
  </si>
  <si>
    <t>……..ชื่อโครงการ/บุคคล……</t>
  </si>
  <si>
    <t>ที่ปรึกษาผลงานวิชาการ</t>
  </si>
  <si>
    <t>พิจารณาบทความ</t>
  </si>
  <si>
    <t xml:space="preserve">พิจารณารายงานวิจัยฉบับสมบรูณ์ </t>
  </si>
  <si>
    <t>พิจารณาข้อเสนอโครงการวิจัย</t>
  </si>
  <si>
    <t>พิจารณาผลงานทางวิชาการ</t>
  </si>
  <si>
    <t>เพื่อประเมิน ผศ.</t>
  </si>
  <si>
    <t>เพื่อประเมิน รศ.</t>
  </si>
  <si>
    <t>เพื่อประเมิน ศ.</t>
  </si>
  <si>
    <t>……..ชื่อหน่วยงาน……</t>
  </si>
  <si>
    <t>จัดทำเอกสารแปล/งานแปล</t>
  </si>
  <si>
    <t>จำนวนหน้า</t>
  </si>
  <si>
    <t>……..ชื่อเอกสารแปล/งานแปล……</t>
  </si>
  <si>
    <t>จำนวนบทความ</t>
  </si>
  <si>
    <t>จัดทำวารสารทางวิชาการ (บก./กอง บก.)</t>
  </si>
  <si>
    <t>จำนวนเล่ม</t>
  </si>
  <si>
    <t>จำนวนเรื่อง</t>
  </si>
  <si>
    <t>จัดทำเอกสารเผยแพร่ความรู้ทางวิชาการ</t>
  </si>
  <si>
    <t>เขียนบทความทางวิชาการ</t>
  </si>
  <si>
    <t>ลงเผยแพร่สื่อระดับชาติ</t>
  </si>
  <si>
    <t>ลงเผยแพร่สื่อระดับนานาชาติ</t>
  </si>
  <si>
    <t>การจัดฝึกอบรม สัมมนา ฯ</t>
  </si>
  <si>
    <t>จำนวนกรรมการ</t>
  </si>
  <si>
    <t>- เตรียมโครงการ</t>
  </si>
  <si>
    <t>- สัมมนาจริง</t>
  </si>
  <si>
    <t>ในประเทศ</t>
  </si>
  <si>
    <t xml:space="preserve">นานาชาติ </t>
  </si>
  <si>
    <t xml:space="preserve">การจัดประชุมวิชาการ ฯ </t>
  </si>
  <si>
    <t>ที่ปรึกษาหน่วยงานของรัฐ/ กลุ่ม ชุมชนท้องถิ่น  (ไม่เกิน 2 หน่วยงาน)</t>
  </si>
  <si>
    <t>จำนวนหน่วยงาน</t>
  </si>
  <si>
    <t>งานวิเคราะห์ ทดสอบ ฯ  (กรณีไม่ได้รับค่าตอบแทน)</t>
  </si>
  <si>
    <t>……..ชื่องาน……</t>
  </si>
  <si>
    <t>การออกให้บริการชุมชน พัฒนาชุมชน</t>
  </si>
  <si>
    <t>ภาระงานให้บริการอื่นๆ นอกเหนือจากที่ระบุข้างต้น</t>
  </si>
  <si>
    <t>……..ชื่อวิชา/มหาวิทยาลัย……</t>
  </si>
  <si>
    <t>……..ภาระงาน……</t>
  </si>
  <si>
    <t>ส่วนที่ 4 ภาระงานทำนุบำรุงศิลปะวัฒนธรรม</t>
  </si>
  <si>
    <t>การเป็นวิทยากร</t>
  </si>
  <si>
    <t>ส่วนที่ 4 การคำนวนภาระงานทำนุบำรุงศิลปะวัฒนธรรม</t>
  </si>
  <si>
    <t>โครงการที่ 6</t>
  </si>
  <si>
    <t>โครงการที่ 7</t>
  </si>
  <si>
    <t>โครงการที่ 8</t>
  </si>
  <si>
    <t>โครงการที่ 9</t>
  </si>
  <si>
    <t>โครงการที่ 10</t>
  </si>
  <si>
    <t>ผู้เข้าร่วม</t>
  </si>
  <si>
    <t xml:space="preserve">คณะกรรมการจัดทำและเข้าร่วมโครงการ </t>
  </si>
  <si>
    <t>ภาระงานบริหาร</t>
  </si>
  <si>
    <t>อาจารย์ที่ปรึกษาชมรมกิจกรรมนักศึกษา / หอพักนศ.</t>
  </si>
  <si>
    <t>อาจารย์ที่ปรึกษานศ. (แต่งตั้งโดยคณะ)</t>
  </si>
  <si>
    <t>เป็นผู้บริหาร (* กรณีดำรงตำแหน่งบริหารให้ใส่เลข 1 ในช่องจำนวนที่ท่านดำรงตำแหน่ง)</t>
  </si>
  <si>
    <t>ประชุมต่างวิทยาเขต</t>
  </si>
  <si>
    <t>การจัดทำโครงการที่เกี่ยวข้องกับสมรรถนะตามที่มหาวิทยาลัย/คณะ กำหนด</t>
  </si>
  <si>
    <t>จัดโครงการ/กิจกรรมสมรรถนะ</t>
  </si>
  <si>
    <t>เข้าร่วมโครงการ/กิจกรรมสมรรถนะ</t>
  </si>
  <si>
    <t>ภาระงานอื่นๆ นอกเหนือจากที่ระบุข้างต้น</t>
  </si>
  <si>
    <t>รองอธิการบดี ฝ่าย…………………………………...</t>
  </si>
  <si>
    <t>คณบดี คณะ………………………………………..</t>
  </si>
  <si>
    <t>รองคณบดี คณะ…………………………………………………</t>
  </si>
  <si>
    <t>ผู้ช่วยอธิการบดี ฝ่าย……………………………………………..</t>
  </si>
  <si>
    <t>ประธานหลักสูตร…………………………………………………</t>
  </si>
  <si>
    <t>ผู้ช่วยคณบดี…………………………………………………….</t>
  </si>
  <si>
    <t>ผู้บริหารระดับสูง</t>
  </si>
  <si>
    <t>ผู้บริหารระดับต้น</t>
  </si>
  <si>
    <t>ผู้บริหารอื่นๆ</t>
  </si>
  <si>
    <t xml:space="preserve">รวมจำนวนชั่วโมงการเป็นกรรมการที่แต่งตั้งโดยหน่วยงานภายนอกมหาวิทยาลัย </t>
  </si>
  <si>
    <t xml:space="preserve">รวมจำนวนชั่วโมงการพิจารณาบทความ </t>
  </si>
  <si>
    <t xml:space="preserve">รวมจำนวนชั่วโมงการพิจารณาผลงานทางวิชาการ </t>
  </si>
  <si>
    <t xml:space="preserve">รวมจำนวนชั่วโมงการเขียนบทความทางวิชาการ </t>
  </si>
  <si>
    <t>รวมจำนวนชั่วโมงการจัดฝึกอบรม สัมมนา ฯ</t>
  </si>
  <si>
    <t>การไปปฎิบัติงานตามคำเชิญของหน่วยงานภายนอก</t>
  </si>
  <si>
    <t>ที่ปรึกษาหน่วยงานของรัฐ/ กลุ่ม ชุมชนท้องถิ่น</t>
  </si>
  <si>
    <t>ผลงานที่ได้นำไปใช้ประโยชน์ต่อชุมชน</t>
  </si>
  <si>
    <t>งานสอน
(16 ชม./สัปดาห์)</t>
  </si>
  <si>
    <t>งานวิจัย
(4 ชม./สัปดาห์)</t>
  </si>
  <si>
    <t>งานบริการวิชาการ
(3 ชม./สัปดาห์)</t>
  </si>
  <si>
    <t>งานทำนุบำรุงศิลปะวัฒนธรรม
(1 ชม./สัปดาห์)</t>
  </si>
  <si>
    <t>จำนวนงานวิจัย</t>
  </si>
  <si>
    <t>……..ชื่อรายวิชา……</t>
  </si>
  <si>
    <t>รวมจำนวนชั่วโมงประชุมคณะกรรมการที่หน่วยงานภายในแต่งตั้ง</t>
  </si>
  <si>
    <t>รวมจำนวนชั่วโมงการจัดทำโครงการที่เกี่ยวข้องกับสมรรถนะตามที่มหาวิทยาลัย/คณะ กำหนด</t>
  </si>
  <si>
    <t xml:space="preserve">สอนเป็นภาษาอังกฤษ </t>
  </si>
  <si>
    <t>ภาคบรรยาย ป ตรี  (141-180 คน)</t>
  </si>
  <si>
    <t>ลำดับ/ชิ้นที่ 1</t>
  </si>
  <si>
    <t>ลำดับ/ชิ้นที่ 2</t>
  </si>
  <si>
    <t>ลำดับ/ชิ้นที่ 3</t>
  </si>
  <si>
    <t>ลำดับ/ชิ้นที่ 4</t>
  </si>
  <si>
    <t>ลำดับ/ชิ้นที่ 5</t>
  </si>
  <si>
    <t>ลำดับ/ชิ้นที่ 6</t>
  </si>
  <si>
    <t>ลำดับ/ชิ้นที่ 7</t>
  </si>
  <si>
    <t>ลำดับ/ชิ้นที่ 8</t>
  </si>
  <si>
    <t>วารสาร</t>
  </si>
  <si>
    <t xml:space="preserve">รวมจำนวนชั่วโมงการจัดประชุมวิชาการ ฯ </t>
  </si>
  <si>
    <t>วิชาที่ 6</t>
  </si>
  <si>
    <t>วิชาที่ 7</t>
  </si>
  <si>
    <t>วิชาที่ 8</t>
  </si>
  <si>
    <t>งานวิจัยที่ 6</t>
  </si>
  <si>
    <t>งานวิจัยที่ 7</t>
  </si>
  <si>
    <t>งานวิจัยที่ 8</t>
  </si>
  <si>
    <t>งานวิจัยที่ 9</t>
  </si>
  <si>
    <t>งานวิจัยที่ 10</t>
  </si>
  <si>
    <t>งานวิจัยที่ 11</t>
  </si>
  <si>
    <t>งานวิจัยที่ 12</t>
  </si>
  <si>
    <t>งานวิจัยที่ 13</t>
  </si>
  <si>
    <t>งานวิจัยที่ 14</t>
  </si>
  <si>
    <t>งานวิจัยที่ 15</t>
  </si>
  <si>
    <t>วิชาที่ 9</t>
  </si>
  <si>
    <t>วิชาที่ 10</t>
  </si>
  <si>
    <t>คณะกรรมการที่ 6</t>
  </si>
  <si>
    <t>คณะกรรมการที่ 7</t>
  </si>
  <si>
    <t>คณะกรรมการที่ 8</t>
  </si>
  <si>
    <t>คณะกรรมการที่ 9</t>
  </si>
  <si>
    <t>คณะกรรมการที่ 10</t>
  </si>
  <si>
    <t>คณะกรรมการที่ 11</t>
  </si>
  <si>
    <t>คณะกรรมการที่ 12</t>
  </si>
  <si>
    <t>คณะกรรมการที่ 13</t>
  </si>
  <si>
    <t>คณะกรรมการที่ 14</t>
  </si>
  <si>
    <t>คณะกรรมการที่ 15</t>
  </si>
  <si>
    <t>คณะกรรมการที่ 16</t>
  </si>
  <si>
    <t>คณะกรรมการที่ 17</t>
  </si>
  <si>
    <t>คณะกรรมการที่ 18</t>
  </si>
  <si>
    <t>คณะกรรมการที่ 19</t>
  </si>
  <si>
    <t>คณะกรรมการที่ 20</t>
  </si>
  <si>
    <t>ภาระงานอื่นๆ ที่ได้รับมอบหมาย</t>
  </si>
  <si>
    <t>……..ชื่อการประชุม……</t>
  </si>
  <si>
    <t>..ชื่อวารสาร ปีที่พิมพ์ ฉบับที…</t>
  </si>
  <si>
    <t>ลิขสิทธิ์</t>
  </si>
  <si>
    <t>ลำดับที่ 6</t>
  </si>
  <si>
    <t>ลำดับที่ 7</t>
  </si>
  <si>
    <t>ลำดับที่ 8</t>
  </si>
  <si>
    <t>ลำดับที่ 9</t>
  </si>
  <si>
    <t>ลำดับที่ 10</t>
  </si>
  <si>
    <t>ลำดับที่ 11</t>
  </si>
  <si>
    <t>ลำดับที่ 12</t>
  </si>
  <si>
    <t>ลำดับที่ 13</t>
  </si>
  <si>
    <t>ลำดับที่ 14</t>
  </si>
  <si>
    <t>ลำดับที่ 15</t>
  </si>
  <si>
    <t>ลำดับที่ 16</t>
  </si>
  <si>
    <t>ลำดับที่ 17</t>
  </si>
  <si>
    <t>ลำดับที่ 18</t>
  </si>
  <si>
    <t>ลำดับที่ 19</t>
  </si>
  <si>
    <t>ลำดับที่ 20</t>
  </si>
  <si>
    <t>ลำดับที่ 21</t>
  </si>
  <si>
    <t>ลำดับที่ 22</t>
  </si>
  <si>
    <t>ลำดับที่ 23</t>
  </si>
  <si>
    <t>ลำดับที่ 24</t>
  </si>
  <si>
    <t>ลำดับที่ 25</t>
  </si>
  <si>
    <t>กำหนดให้มีการรายงานเป็น 2 ช่วง คือ  ช่วงแรก เป็นภาระงานตั้งแต่เดือนตุลาคม - เดือนมีนาคม  และช่วงที่ 2 เป็นภาระงานตั้งแต่เดือนเมษายน - เดือนกันยายน</t>
  </si>
  <si>
    <t>ช. การรายงานภาระงาน</t>
  </si>
  <si>
    <t xml:space="preserve">   5.3  การกำหนดชั่วโมงทำการสำหรับภาระงานอื่น ๆ  ในที่นี้มีการคิด ชั่วโมงทำการสำหรับภาระงานการเป็นคณะกรรมการต่าง ๆ ที่หน่วยงานภายในมหาวิทยาลัยแต่งตั้ง   งานด้านศิลปะวัฒนธรรม   ผู้นำกิจกรรมทางวิชาการ  โดยที่ภาระงานการเป็นกรรมการนับตามเวลาที่เข้าประชุม แต่ไม่รวมการเป็นกรรมการในตำแหน่งผู้บริหาร ส่วนภาระงานอื่น ๆ นับตามกิจกรรม/ชั่วโมงปฏิบัติงาน</t>
  </si>
  <si>
    <t xml:space="preserve">   5.2  ในกรณีที่มีตำแหน่งบริหารหลายตำแหน่ง  ให้คิดภาระงานเฉพาะตำแหน่งสูงสุดเพียงตำแหน่งเดียว</t>
  </si>
  <si>
    <t>รองคณบดี/รอง ผอ.สำนัก/ศูนย์/สถาบัน</t>
  </si>
  <si>
    <t>รองอธิการบดี</t>
  </si>
  <si>
    <t>การให้บริการทางวิชาการอื่นๆ เช่น การเยี่ยมชมฐานเรียนรู้ โดยมีหลักฐานอื่นๆ เช่น สมุดเยี่ยมชม เป็นต้น</t>
  </si>
  <si>
    <t>……..ชื่อโครงการ/หัวข้อ……</t>
  </si>
  <si>
    <t xml:space="preserve">       5.1.4 ผู้บริหารระดับผู้ช่วยคณบดี  ประธานหลักสูตร และตำแหน่งอื่น ๆ ที่ภาระงานบริหารเทียบเท่า กำหนดภาระงานบริหาร 30% คือ 10 ชั่วโมงทำการ/สัปดาห์ ส่วนคณะกรรมการและเลขานุการหลักสูตรกำหนดภาระงานเป็นครึ่งหนึ่งของประธานหลักสูตร</t>
  </si>
  <si>
    <t xml:space="preserve">        5.1.3  ผู้บริหารระดับผู้ช่วยอธิการบดี  รองคณบดี  หัวหน้าภาควิชา/หัวหน้าสาขา(ในคณะที่ไม่มีการแบ่งส่วนราชการเป็นภาควิชา)   รองผู้อำนวยการศูนย์/สำนัก(ที่เทียบเท่าคณะ)  ประธานสภาอาจารย์มหาวิทยาลัย   และตำแหน่งอื่น ๆ ที่ภาระงานบริหารเทียบเท่าหัวหน้าภาควิชา  กำหนดภาระงานบริหาร 60% คือ 20 ชั่วโมงทำการ/สัปดาห์</t>
  </si>
  <si>
    <t xml:space="preserve">        5.1.2 ผู้บริหารระดับรองอธิการบดี คณบดี ผู้อำนวยการศูนย์/สำนัก(ที่เทียบเท่าคณะ)  กำหนดภาระงานบริหาร 85% คือ 30 ชั่วโมงทำการ/สัปดาห์</t>
  </si>
  <si>
    <t xml:space="preserve">        5.1.1 ผู้บริหารระดับอธิการบดี  กำหนดภาระงานบริหาร 100% คือ 35 ชั่วโมงทำการ/สัปดาห์</t>
  </si>
  <si>
    <t xml:space="preserve">   5.1  การกำหนดชั่วโมงทำการสำหรับภาระงานบริหาร ในที่นี้มีการคิดภาระงานบริหารเป็น 5  กลุ่ม คือ    </t>
  </si>
  <si>
    <t>5.  กำหนดเกณฑ์มาตรฐานในการเทียบภาระงานบริหารและอื่น ๆ เป็นชั่วโมงทำการ ดังนี้</t>
  </si>
  <si>
    <t>ฉ.  การกำหนดภาระงานบริหารและอื่น ๆ</t>
  </si>
  <si>
    <t xml:space="preserve">   4.3 การกำหนดชั่วโมงทำการสำหรับภาระงานการเป็นคณะกรรมการต่าง ๆ ที่หน่วยงานภายในมหาวิทยาลัยแต่งตั้ง   งานด้านศิลปะวัฒนธรรม  ให้นับตามเวลาที่เข้าประชุมจริง แต่ไม่รวมการเป็นกรรมการในตำแหน่งผู้บริหาร ส่วนภาระงานอื่น ๆ นับตามกิจกรรม/ชั่วโมงปฏิบัติงานจริง</t>
  </si>
  <si>
    <t xml:space="preserve">   4.2 การเข้าร่วมงานโครงการ/กิจกรรมที่เกี่ยวข้องกับงานทำนุบำรุงศิลปวัฒนธรรม คิดภาระงาน 2 ชั่วโมงทำการ/ครั้ง</t>
  </si>
  <si>
    <t xml:space="preserve">   4.1  การจัดทำโครงการ/กิจกรรมที่เกี่ยวข้องกับงานทำนุบำรุงศิลปวัฒนธรรม คิดภาระงาน 10 ชั่วโมงทำการ/ครั้ง  </t>
  </si>
  <si>
    <t>4.  กำหนดเกณฑ์มาตรฐานในการเทียบภาระงานทำนุบำรุงศิลปวัฒนธรรม เป็นชั่วโมงทำการ ดังนี้</t>
  </si>
  <si>
    <t xml:space="preserve">จ.  การกำหนดภาระงานทำนุบำรุงศิลปวัฒนธรรม </t>
  </si>
  <si>
    <t xml:space="preserve">    3.4  การจัดประชุม อบรม สัมมนา ประชุมวิชาการ ในระดับชาติ และระดับนานาชาติ คิดภาระงานตามชั่วโมงการทำงาน คือ ทำงาน 1 ชั่วโมง เท่ากับ 1 ชั่วโมงทำการ โดยมีการคิดทั้งก่อนเริ่มโครงการ และเวลาจัดจริง</t>
  </si>
  <si>
    <t xml:space="preserve">    3.3  การให้บริการทางวิชาการ ในลักษณะเป็นผู้พิจารณาผลงานวิจัย/ผลงานวิชาการ/หนังสือ/ตำรา/บทความ/ข้อเสนอโครงการวิจัย  ที่ปรึกษานักวิจัย/หน่วยงานของรัฐ  ฯลฯ  คิดภาระงานเป็นเรื่อง / โครงการ / ชั่วโมงการทำงาน แล้วแต่กรณี</t>
  </si>
  <si>
    <t xml:space="preserve">    3.2  การเป็นคณะกรรมการต่าง ๆ ให้กับหน่วยงานภายนอกมหาวิทยาลัย  คิดภาระงานตามชั่วโมงการประชุม คือ ประชุม 1 ชั่วโมง เท่ากับ 1 ชั่วโมงทำการ และบวกเพิ่ม 30% กรณีเดินทางไปประชุมนอกวิทยาเขต</t>
  </si>
  <si>
    <t xml:space="preserve">    3.1  การเป็นวิทยากร คิดเท่ากับภาระงานสอนบรรยาย  กรณีที่ไม่ได้รับค่าตอบแทน คือ เป็นวิทยากร 1 ชั่วโมงบรรยาย เท่ากับ 3 ชั่วโมงทำการ และกรณีได้รับค่าตอบแทนคิด 30%</t>
  </si>
  <si>
    <t xml:space="preserve">ภาระงานบริการวิชาการมีลักษณะหลากหลายประเภท  การคิดชั่วโมงทำการของภาระงานบริการวิชาการ ในที่นี้กำหนดเป็น 4  ลักษณะ คือ  </t>
  </si>
  <si>
    <t>3. กำหนดเกณฑ์มาตรฐานในการเทียบภาระงานสอน เป็นชั่วโมงทำการ ดังนี้</t>
  </si>
  <si>
    <t>ในหัวข้อนี้ ไม่รวมหนังสือ/ตำราที่เป็นผลงานแปล    กรณีที่เป็นงานแปล  ให้เสนอผลงานในหัวข้อ ภาระงานบริการวิชาการ ( ข้อ ง.)</t>
  </si>
  <si>
    <t xml:space="preserve">     อนึ่ง ภาระงานวิทยานิพนธ์และสารนิพนธ์ของนักศึกษาปริญญาโทหรือเอก ในบทบาทของอาจารย์ที่ปรึกษา จะอยู่ในหัวข้อภาระงานสอน (ไม่แสดงในหัวข้อนี้)    แต่ในกรณีที่มีการตีพิมพ์ผลงานวิทยานิพนธ์/สารนิพนธ์เหล่านี้ลงในวารสาร    หรือมีการนำเสนอในที่ประชุมวิชาการ ให้นำไปกรอกในหัวข้อ บทความวิจัยที่ตีพิมพ์ในวารสาร (Publications)  และผลงานที่นำเสนอในที่ประชุมวิชาการ (Proceedings) ตามลำดับ</t>
  </si>
  <si>
    <t>หากในโครงการไม่ได้ระบุจำนวนเงินวิจัยเป็นรายปี ให้หารเฉลี่ยจำนวนเงินทั้งโครงการกับจำนวนปีที่ดำเนินการ</t>
  </si>
  <si>
    <t xml:space="preserve">   2.5   การคิดวงเงินวิจัย ในกรณีที่โครงการวิจัยมีระยะเวลาวิจัยมากกว่า 1 ปี  ให้ใช้จำนวนเงินวิจัยตามปีที่ปรากฏในข้อเสนอโครงการวิจัย  </t>
  </si>
  <si>
    <t xml:space="preserve">   2.4 การคิดภาระงานของโครงการวิจัยที่กำลังดำเนินการ ให้คิดภาระงานตามระยะเวลาของข้อเสนอโครงการวิจัย (กรณีงานวิจัยยังไม่แล้วเสร็จ ในช่วงเวลาที่ขอขยายเวลา ตามกำหนด จะไม่ได้ภาระงานนอกเหนือจากที่โครงการกำหนด) </t>
  </si>
  <si>
    <t xml:space="preserve">   2.3 กรณีที่โครงการวิจัย/ผลงานทางวิชาการมีผู้ร่วมงานมากกว่า 1 คนให้เฉลี่ยภาระงาน ตาม weight ตาม%สัดส่วนภาระงานที่แต่ละคนรับผิดชอบ</t>
  </si>
  <si>
    <t xml:space="preserve">        =   17 X  [ 15 + (4.6 X 0.3) ]  =  17 X 16.38  =  278.46  ชั่วโมงทำการ (เป็นภาระงานรวมของผู้ร่วมวิจัยทั้ง 2 คน)</t>
  </si>
  <si>
    <t xml:space="preserve">        =  (15+2)  X  [ 15 + (จำนวนเต็มของ (23,000 / 5,000)) X  0.3 ]</t>
  </si>
  <si>
    <t xml:space="preserve">        =  (15+ จำนวนผู้ร่วมวิจัย) X  [ 15 + จำนวนเต็มของ (จำนวนเงินวิจัย หาร 5,000) X 0.3 ]</t>
  </si>
  <si>
    <t xml:space="preserve">   โครงการวิจัยทางสังคมศาสตร์  1 โครงการ มีผู้ร่วมวิจัย 2 คน วงเงิน 23,000 บาท มีวิธีคิด คือ</t>
  </si>
  <si>
    <t xml:space="preserve">        = 19  X  [ 15 + ( 120 X 0.3 ) ]   =   19  X  37    =   703  ชั่วโมงทำการ (เป็นภาระงานรวมของผู้ร่วมวิจัยทั้ง 3 คน)</t>
  </si>
  <si>
    <t xml:space="preserve">        =  (15+4)  X  [15+ (จำนวนเต็มของ (1,200,000 / 10,000)) X  0.3 ]  </t>
  </si>
  <si>
    <t xml:space="preserve">        =  (15+ จำนวนผู้ร่วมวิจัย) X  [15 + จำนวนเต็มของ (จำนวนเงินวิจัย หาร 10,000) X 0.3 ]</t>
  </si>
  <si>
    <t xml:space="preserve">ของโครงการ วงเงินวิจัย 1,200,000 บาท  </t>
  </si>
  <si>
    <t xml:space="preserve">     โครงการวิจัยทางวิทยาศาสตร์ 1 โครงการ มีผู้ร่วมวิจัย 4 คน เป็นโครงการ 2 ปี วงเงิน 3 ล้านบาท ปีที่คิดภาระงาน เป็นปีแรกมีวิธีคิด คือ</t>
  </si>
  <si>
    <t>ตัวอย่าง  แสดงการคิดภาระงานของโครงการวิจัย</t>
  </si>
  <si>
    <t xml:space="preserve">            B  คือ จำนวนเงินวิจัย (บาท/ปี)   และ TRUNC คือตัวเลขจำนวนเต็ม มีค่าเป็น 1, 2, 3, …….</t>
  </si>
  <si>
    <t>คำสั่งแต่งตั้ง</t>
  </si>
  <si>
    <t>โดยที่   N  คือ จำนวนผู้ร่วมวิจัย  มีค่าตั้งแต่  1 ถึง 6</t>
  </si>
  <si>
    <t xml:space="preserve">       โครงการวิจัยทางสังคมศาสตร์     (15 + N )  X  [ 15 + TRUNC ( B /  5,000.00 ) X 0.3 ]</t>
  </si>
  <si>
    <t xml:space="preserve">       โครงการวิจัยทางวิทยาศาสตร์      (15 + N )  X  [ 15 + TRUNC ( B / 10,000.00 ) X 0.3 ]  </t>
  </si>
  <si>
    <t xml:space="preserve">โดยแสดงเป็นสูตรการคำนวณทางคณิตศาสตร์ดังนี้   </t>
  </si>
  <si>
    <t>&gt; 6</t>
  </si>
  <si>
    <t>จำนวน ชม.ทำการ/ปี</t>
  </si>
  <si>
    <t>จำนวนผู้ร่วมวิจัย(คน)</t>
  </si>
  <si>
    <t>วิธีการกำหนดตัวแปรตามจำนวนผู้ร่วมวิจัย</t>
  </si>
  <si>
    <t>ผู้ร่วมวิจัยตั้งแต่ 6 คนขึ้นไป จะได้ภาระงาน 105 ชั่วโมงทำการ</t>
  </si>
  <si>
    <t>15 ชั่วโมงทำการ ตามจำนวน ผู้วิจัยที่เพิ่มขึ้น 1 คน ทั้งนี้มีการกำหนดค่าสูงสุด =   105 ชั่วโมงทำการ ซึ่ง หมายความว่าจำนวน</t>
  </si>
  <si>
    <t xml:space="preserve">        2.2.2  แปรผันตามจำนวนผู้ร่วมวิจัย  กำหนดให้โครงการวิจัยที่ทำคนเดียวได้ 30 ชั่วโมงทำการ และให้ได้ภาระงานเพิ่มอีก  </t>
  </si>
  <si>
    <t>หมายเหตุ : ทุนวิจัยทางวิทยาศาสตร์ มีฐานคิดสูงกว่าทุนวิจัยทางสังคมศาสตร์ เนื่องจาก การวิจัยทางวิทยาศาสตร์ มีการใช้เครื่องมือและอุปกรณ์ที่มีราคาแพงกว่าการวิจัยทางสังคมศาสตร์</t>
  </si>
  <si>
    <t xml:space="preserve">= 15 บวก [(จำนวนเต็มของ เงินวิจัย หาร 5,000) คูณ 0.3] </t>
  </si>
  <si>
    <t xml:space="preserve">= 15 บวก [(จำนวนเต็มของ เงินวิจัย หาร 10,000) คูณ 0.3] </t>
  </si>
  <si>
    <t xml:space="preserve">-- ทุกวงเงินที่เพิ่มขึ้น 5,000 บาทได้เพิ่ม 0.3 หน่วยชั่วโมงทำการ </t>
  </si>
  <si>
    <t xml:space="preserve">-- ทุกวงเงินที่เพิ่มขึ้น 10,000 บาท ได้เพิ่ม 0.3 หน่วยชั่วโมงทำการ  </t>
  </si>
  <si>
    <t>………..</t>
  </si>
  <si>
    <t>…………</t>
  </si>
  <si>
    <t>25,000 - 29,999</t>
  </si>
  <si>
    <t>50,000 - 59,999</t>
  </si>
  <si>
    <t>20,000 - 24,999</t>
  </si>
  <si>
    <t>40,000 - 49,999</t>
  </si>
  <si>
    <t>15,000 - 19,999</t>
  </si>
  <si>
    <t>30,000 - 39,999</t>
  </si>
  <si>
    <t>10,000 - 14,999</t>
  </si>
  <si>
    <t>20,000 - 29,999</t>
  </si>
  <si>
    <t>5,000 - 9,999</t>
  </si>
  <si>
    <t>10,000 - 19,999</t>
  </si>
  <si>
    <t>น้อยกว่า 5,000</t>
  </si>
  <si>
    <t>น้อยกว่า 10,000</t>
  </si>
  <si>
    <t>เงินวิจัยทางสังคมศาสตร์</t>
  </si>
  <si>
    <t>เงินทุนวิจัยทางวิทยาศาสตร์</t>
  </si>
  <si>
    <t xml:space="preserve">          2.2.1 แปรผันตามจำนวนเงินวิจัย  คิดจากจำนวนทุนวิจัยแต่ละปีของโครงการ (หน่วย : บาท/ปี)  ซึ่งแยกพิจารณาโครงการวิจัยตามลักษณะกลุ่มสาขาเป็น 2 กลุ่ม คือ กลุ่มสาขาทางวิทยาศาสตร์  และกลุ่มสาขาทางสังคมศาสตร์    ดังนี้   </t>
  </si>
  <si>
    <t xml:space="preserve">    2.2  การพิจารณาชั่วโมงทำการโครงการวิจัย  ให้แปรผันตามจำนวนเงินวิจัย และผู้ร่วมงานวิจัย  ดังนี้ </t>
  </si>
  <si>
    <t xml:space="preserve">           2.1.4  ชั่วโมงทำการสำหรับการเสนอผลงานทางวิชาการในที่ประชุม/สัมมนาทางวิชาการ  รวมถึงงานที่ได้รับสิทธิบัตร/อนุสิทธิบัตร, Reviewed article</t>
  </si>
  <si>
    <t xml:space="preserve">           2.1.3  ชั่วโมงทำการสำหรับการจัดทำผลงาน/บทความทางวิชาการ   </t>
  </si>
  <si>
    <t xml:space="preserve">           2.1.2  ชั่วโมงทำการสำหรับการตีพิมพ์เผยแพร่ผลงานวิจัย/บทความวิชาการ </t>
  </si>
  <si>
    <t xml:space="preserve">           2.1.1  ชั่วโมงทำการสำหรับภาระงานโครงการวิจัยที่กำลังดำเนินการ    </t>
  </si>
  <si>
    <t xml:space="preserve">   2.1  การคิดชั่วโมงทำการของภาระงานวิจัยและผลงานทางวิชาการ  ในที่นี้ประกอบด้วย  4 ลักษณะงาน คือ   </t>
  </si>
  <si>
    <t>2.  กำหนดเกณฑ์มาตรฐานในการเทียบภาระงานวิจัย และผลงานทางวิชาการอื่น ๆ เป็นชั่วโมงทำการ ดังนี้</t>
  </si>
  <si>
    <t>ค.  การกำหนดภาระงานวิจัย และผลงานทางวิชาการอื่น ๆ เป็น ชั่วโมงทำการ</t>
  </si>
  <si>
    <t xml:space="preserve">   1.13  ภาระงานที่เกี่ยวเนื่องกับงานสอนนักศึกษา ที่ยังไม่ได้กำหนดภาระงานตามบัญชีนี้  คณะกรรมการประจำคณะอาจกำหนดเพิ่มได้ ตามความเหมาะสม</t>
  </si>
  <si>
    <t xml:space="preserve">   1.12  การเป็นอาจารย์ที่ปรึกษาวิทยานิพนธ์ร่วมให้กับนักศึกษาระดับบัณฑิตศึกษา ไม่ว่าจะเป็นนักศึกษาจากทั้งใน/นอกคณะ และ    นอกมหาวิทยาลัย  สามารถนำมาคิดเป็นภาระงานควบคุมวิทยานิพนธ์ได้   (โดยมีหนังสือแต่งตั้งจากหน่วยงานที่เกี่ยวข้อง)</t>
  </si>
  <si>
    <t xml:space="preserve">       อนึ่งการคิดภาระงานใน (1.11.1) และ (1.11.2) คิดภาระงานต่อจำนวนนักศึกษาได้ไม่เกิน 5 คน ใน (2.11.4) คิดภาระงานต่อจำนวนนักศึกษาได้ไม่เกิน 15 คน</t>
  </si>
  <si>
    <t xml:space="preserve">        1.11.5 งานที่ปรึกษาปัญหาพิเศษ/โครงงานระดับปริญญาตรี/สหกิจศึกษา/ที่ปรึกษาสโมสร/ชมรม/องค์การนักศึกษา คิดภาระงานให้ 1.5 ชั่วโมงทำการ/สัปดาห์/เรื่อง </t>
  </si>
  <si>
    <t xml:space="preserve">        1.11.4 งานที่ปรึกษาค้นคว้าอิสระระดับปริญญาโท คิดภาระงานให้ประธานที่ปรึกษาค้นคว้าอิสระ 1 ชั่วโมงทำการ/สัปดาห์/เรื่อง    คิดภาระงานให้กรรมการครึ่งหนึ่ง</t>
  </si>
  <si>
    <t xml:space="preserve">         1.11.3 ภาระงานกรรมการสอบวิทยานิพนธ์ และกรรมการพิจารณาโครงร่างวิทยานิพนธ์ คิดภาระงาน รายบุคคล เป็น 6 ชั่วโมงทำการ/การสอบ 1 ครั้ง ทั้งนี้ให้คิดให้กรรมการสอบวิทยานิพนธ์ทุกคน ที่ไม่ใช่อาจารย์ที่ปรึกษาวิทยานิพนธ์  (เนื่องจากได้พิจารณารวมไว้ในภาระงานอาจารย์ที่ปรึกษาแล้ว) </t>
  </si>
  <si>
    <t xml:space="preserve">อนึ่งการสอนเป็นภาษาอังกฤษ ซึ่งจะได้ภาระงานเพิ่มขึ้นนี้  ต้องสอนเป็นภาษาอังกฤษทั้งรายวิชาตลอดทั้งภาคการศึกษา </t>
  </si>
  <si>
    <t>ข้อมูลผู้ประเมิน</t>
  </si>
  <si>
    <t xml:space="preserve">อาจารย์นิเทศสหกิจศึกษา      </t>
  </si>
  <si>
    <t>อาจารย์นิเทศนศ.ฝึกงาน</t>
  </si>
  <si>
    <t>นำเสนอในที่ประชุมวิชาการ (Proceedings)</t>
  </si>
  <si>
    <t>บทความปริทัศน์ (reviewed article)</t>
  </si>
  <si>
    <r>
      <rPr>
        <b/>
        <sz val="10"/>
        <rFont val="Arial"/>
        <family val="2"/>
      </rPr>
      <t>ตำแหน่งบริหาร</t>
    </r>
    <r>
      <rPr>
        <sz val="10"/>
        <rFont val="Arial"/>
        <family val="2"/>
      </rPr>
      <t xml:space="preserve"> ..................................................................</t>
    </r>
  </si>
  <si>
    <t>เทียบมาตรฐานภาระงานขั้นต่ำ</t>
  </si>
  <si>
    <t>1. ภาระงานบริหาร</t>
  </si>
  <si>
    <t>3. ภาระงานตามพันธกิจ</t>
  </si>
  <si>
    <t>2. ภาระงานอื่นๆ ที่ได้รับมอบหมาย</t>
  </si>
  <si>
    <t xml:space="preserve">   3.1 ภาระงานการเรียนการสอน</t>
  </si>
  <si>
    <t xml:space="preserve">   3.2 ภาระงานวิจัยฯ</t>
  </si>
  <si>
    <t xml:space="preserve">   3.3 ภาระงานบริการวิชาการ</t>
  </si>
  <si>
    <t xml:space="preserve">   3.4 ภาระงานทำนุบำรุงศิลปวัฒนธรรม</t>
  </si>
  <si>
    <t>จำนวนชั่วโมงทำการ/ภาคการศึกษา</t>
  </si>
  <si>
    <t>จำนวนชั่วโมงทำการ/สัปดาห์</t>
  </si>
  <si>
    <t>หน่วย : ชั่วโมงทำการต่อสัปดาห์</t>
  </si>
  <si>
    <t>ผลงานวิจัยที่นำเสนอในที่ประชุมวิชาการ (Proceedings)</t>
  </si>
  <si>
    <t>การไปปฎิบัติงานตามคำเชิญของหน่วยงานภายนอก (เช่น การตรวจสอบ/ประเมินให้กับหน่วยงานภายนอกคณะ/ม./วิพากษ์หลักสูตร/ประธานในที่ประชุมวิชาการ)</t>
  </si>
  <si>
    <t>เขียนบทความทางวิชาการ (ใช้เฉพาะในการบริการวิชาการในแต่ละครั้ง)</t>
  </si>
  <si>
    <t>แบบ ป.วช-02</t>
  </si>
  <si>
    <t>แบบรายงานภาระงานตามข้อตกลงและแบบประเมินผลการปฏิบัติราชการ</t>
  </si>
  <si>
    <t>บุคลากรประเภทสายวิชาการ  สังกัดมหาวิทยาลัยแม่โจ้</t>
  </si>
  <si>
    <t>ส่วนที่ 1  ข้อมูลส่วนบุคคล</t>
  </si>
  <si>
    <t xml:space="preserve">   ประเภทบุคลากร</t>
  </si>
  <si>
    <t xml:space="preserve">   ประเภทตำแหน่ง  </t>
  </si>
  <si>
    <t xml:space="preserve">ส่วนที่ 2 แบบรายงานภาระงานตามข้อตกลง/แบบประเมินผลสัมฤทธิ์ของงาน </t>
  </si>
  <si>
    <t>(ก) ภาระงาน</t>
  </si>
  <si>
    <t>(ค) เอกสารอ้างอิง</t>
  </si>
  <si>
    <t xml:space="preserve">1.ระดับความสำเร็จตามคำรับรองการปฏิบัติราชการ </t>
  </si>
  <si>
    <t>2. ระดับความสำเร็จตามตัวบ่งชี้ที่ได้รับมอบหมายในแผนปฏิบัติราชการประจำปี</t>
  </si>
  <si>
    <t xml:space="preserve">3. ระดับความสำเร็จตามตัวชี้วัดการบริหารงานตามยุทธศาสตร์ของหน่วยงาน
</t>
  </si>
  <si>
    <t xml:space="preserve">4. ระดับความสำเร็จในการบริหารงานหลักสูตร
</t>
  </si>
  <si>
    <t xml:space="preserve">5. ความสามารถในการบริหารและการจัดการตามหลักธรรมาภิบาล
</t>
  </si>
  <si>
    <t>1. ภาระงานสอน</t>
  </si>
  <si>
    <t>2. ภาระงานวิจัยและผลงานทางวิชาการ</t>
  </si>
  <si>
    <t>3. ภาระงานบริการทางวิชาการ</t>
  </si>
  <si>
    <t>4. ภาระงานทำนุบำรุงศิลปวัฒนธรรม</t>
  </si>
  <si>
    <t>การประเมินการพัฒนาตนเอง  (ร้อยละ 5)</t>
  </si>
  <si>
    <t>ผลการประเมินการประกันคุณภาพหน่วยงาน  (ร้อยละ  5)</t>
  </si>
  <si>
    <t>1. ผลการประเมินการประกันคุณภาพของหน่วยงาน</t>
  </si>
  <si>
    <t>หน่วยงานฯ ได้รับคะแนนการประเมินฯ</t>
  </si>
  <si>
    <t>ส่วนที่ 3 แบบประเมินพฤติกรรมการปฏิบัติราชการ</t>
  </si>
  <si>
    <t>(ก)สมรรถนะ</t>
  </si>
  <si>
    <t>(ข)ระดับสมรรถนะ</t>
  </si>
  <si>
    <t>สมรรถนะหลัก</t>
  </si>
  <si>
    <t>1. ความใฝ่รู้</t>
  </si>
  <si>
    <t>2. การทำงานเป็นทีมและการสร้างเครือข่าย</t>
  </si>
  <si>
    <t>3. ความคิดริเริ่มสร้างสรรค์</t>
  </si>
  <si>
    <t>4. ความสามารถในการใช้ภาษาต่างประเทศ</t>
  </si>
  <si>
    <t>5. ทักษะด้านการใช้เทคโนโลยีสารสนเทศ</t>
  </si>
  <si>
    <t>สมรรถนะประจำกลุ่มงาน</t>
  </si>
  <si>
    <t>1. ทักษะการให้คำปรึกษา</t>
  </si>
  <si>
    <t>2. ทักษะการสอน</t>
  </si>
  <si>
    <t>3. ทักษะด้านการวิจัยและนวัตกรรม</t>
  </si>
  <si>
    <t>4. ความรู้ความเชี่ยวชาญด้านวิชาการ</t>
  </si>
  <si>
    <t>5. ความกระตือรือร้นและการเป็นแบบอย่างที่ดี</t>
  </si>
  <si>
    <t>1. ทักษะการบริหารจัดการ</t>
  </si>
  <si>
    <t>2. การวางแผน</t>
  </si>
  <si>
    <t>3. การมีวิสัยทัศน์</t>
  </si>
  <si>
    <t>4. การแก้ไขปัญหา</t>
  </si>
  <si>
    <t>(ง) หลักเกณฑ์การประเมิน</t>
  </si>
  <si>
    <t>ตัวคูณ</t>
  </si>
  <si>
    <t>คะแนน</t>
  </si>
  <si>
    <t xml:space="preserve">ส่วนที่  4  สรุปผลการประเมิน  </t>
  </si>
  <si>
    <t>(ก) องค์ประกอบการประเมิน</t>
  </si>
  <si>
    <t>(ข) คะแนน</t>
  </si>
  <si>
    <t>สรุปคะแนนผลการประเมินการปฏิบัติราชการ  (คะแนนเต็ม 100 คะแนน)</t>
  </si>
  <si>
    <t>ระดับผลการประเมิน</t>
  </si>
  <si>
    <t>c</t>
  </si>
  <si>
    <t>ดีเด่น                   (ช่วงคะแนน 90-100)</t>
  </si>
  <si>
    <t>ดีมาก                   (ช่วงคะแนน 80-89.99)</t>
  </si>
  <si>
    <t>ดี                         (ช่วงคะแนน 70-79.99)</t>
  </si>
  <si>
    <t>พอใช้                   (ช่วงคะแนน 60-69.99)</t>
  </si>
  <si>
    <t>ต้องปรับปรุง         (ช่วงคะแนนต่ำกว่า 60)</t>
  </si>
  <si>
    <t>ความคิดเห็นเพิ่มของผู้ประเมิน (ระบุข้อมูลเมื่อสิ้นรอบการประเมิน)</t>
  </si>
  <si>
    <t>1) จุดเด่น และ/หรือ สิ่งที่ควรปรับปรุงแก้ไข</t>
  </si>
  <si>
    <t>2) ข้อเสนอแนะเกี่ยวกับวิธีส่งเสริมและพัฒนา  เพื่อจัดทำแผนพัฒนารายบุคคล</t>
  </si>
  <si>
    <t>ส่วนที่  5  การลงลายมือชื่อไว้เป็นหลักฐาน</t>
  </si>
  <si>
    <t xml:space="preserve">5.1  ณ วันรายงานภาระงานตามข้อตกลง </t>
  </si>
  <si>
    <t>5.2   ณ วันสิ้นสุดรอบการประเมิน</t>
  </si>
  <si>
    <t>ผู้รับการประเมินได้รายงานภาระงานตามข้อตกลงเพื่อประกอบการพิจารณา</t>
  </si>
  <si>
    <t>ผู้ประเมินประเมินผลการปฏิบัติงานเป็นที่เรียบร้อย และได้แจ้งให้ผู้รับการประเมินได้ทราบ</t>
  </si>
  <si>
    <t>ประเมินผลการปฏิบัติงานครบทุกองค์ประกอบแล้ว จึงลงรายมือชื่อไว้เป็นหลักฐาน :</t>
  </si>
  <si>
    <t>ถึงผลการประเมินเป็นที่เรียบร้อยแล้ว จึงลงลายมือชื่อไว้เป็นหลักฐาน :</t>
  </si>
  <si>
    <t xml:space="preserve">ลงชื่อ ……………………………………… </t>
  </si>
  <si>
    <t>ผู้ปฏิบัติงาน</t>
  </si>
  <si>
    <t>ผู้บังคับบัญชาชั้นต้น</t>
  </si>
  <si>
    <t>ลงชื่อ ………………………………………</t>
  </si>
  <si>
    <t xml:space="preserve"> ผู้บังคับบัญชาระดับเหนือขึ้นไป</t>
  </si>
  <si>
    <t>60 - 100 คน (เว้นแต่นักศึกษาลงทะเบียนไม่ถึง 60 คน)</t>
  </si>
  <si>
    <t>30 - 60 คน (เว้นแต่นักศึกษาลงทะเบียนไม่ถึง 30 คน)</t>
  </si>
  <si>
    <t xml:space="preserve">         1.11.1 งานที่ปรึกษาดุษฎีนิพนธ์ คิดภาระงานให้ประธานที่ปรึกษา 4 ชั่วโมงทำการ/สัปดาห์/จำนวนนักศึกษา สำหรับสายวิทยาศาสตร์ และ 3 ชั่วโมงทำการ/สัปดาห์/จำนวนนักศึกษา สำหรับสายสังคมศาสตร์ คิดภาระงานให้กรรมการครึ่งหนึ่ง</t>
  </si>
  <si>
    <t xml:space="preserve">         1.11.2 งานที่ปรึกษาวิทยานิพนธ์ คิดภาระงานให้ประธานที่ปรึกษา 2 ชั่วโมงทำการ/สัปดาห์/จำนวนนักศึกษา สำหรับสายวิทยาศาสตร์ และ 1.5 ชั่วโมงทำการ/สัปดาห์/จำนวนนักศึกษา สำหรับสายสังคมศาสตร์ คิดภาระงานให้กรรมการครึ่งหนึ่ง</t>
  </si>
  <si>
    <t>1.3.3 กรรมการสอบวิชาโครงงาน/วิจัย /</t>
  </si>
  <si>
    <r>
      <t xml:space="preserve">        </t>
    </r>
    <r>
      <rPr>
        <sz val="14"/>
        <rFont val="TH Niramit AS"/>
      </rPr>
      <t>(จำนวนอาจารย์ที่ปฏิบัติงานในแต่ละชั่วโมงหรือจำนวนกลุ่มย่อยในแต่ละตอนเป็นไปตามดุลยพินิจของกรรมการประจำคณะ)</t>
    </r>
  </si>
  <si>
    <t>1.3  วิชาโครงงาน  (project) /งานวิจัยนศ.ป.ตรี/ ปัญหาพิเศษ /การเรียนรู้อิสระ /วิทยานิพนธ์ (ป.ตรี)</t>
  </si>
  <si>
    <r>
      <t xml:space="preserve">1 โครงงาน/เรื่อง (นศ. </t>
    </r>
    <r>
      <rPr>
        <u/>
        <sz val="16"/>
        <rFont val="TH Niramit AS"/>
      </rPr>
      <t>&gt;</t>
    </r>
    <r>
      <rPr>
        <sz val="16"/>
        <rFont val="TH Niramit AS"/>
      </rPr>
      <t>1 คน)</t>
    </r>
  </si>
  <si>
    <t>1.4.1 อาจารย์ที่ปรึกษาวิชาสัมมนา</t>
  </si>
  <si>
    <r>
      <t xml:space="preserve">1 หัวข้อ/เรื่อง (นศ. </t>
    </r>
    <r>
      <rPr>
        <u/>
        <sz val="16"/>
        <rFont val="TH Niramit AS"/>
      </rPr>
      <t>&gt;</t>
    </r>
    <r>
      <rPr>
        <sz val="16"/>
        <rFont val="TH Niramit AS"/>
      </rPr>
      <t>1 คน)</t>
    </r>
  </si>
  <si>
    <t xml:space="preserve">       ศึกษา</t>
  </si>
  <si>
    <r>
      <t xml:space="preserve">นักศึกษา </t>
    </r>
    <r>
      <rPr>
        <u/>
        <sz val="16"/>
        <rFont val="TH Niramit AS"/>
      </rPr>
      <t>&gt;</t>
    </r>
    <r>
      <rPr>
        <sz val="16"/>
        <rFont val="TH Niramit AS"/>
      </rPr>
      <t xml:space="preserve">  20 คน         นักศึกษา &lt; 20 คน</t>
    </r>
  </si>
  <si>
    <t>มาตรฐานภาระงานอาจารย์ของข้าราชการและพนักงานมหาวิทยาลัยสายวิชาการ (ภาระงานสอน)</t>
  </si>
  <si>
    <t>มาตรฐานภาระงานอาจารย์ของข้าราชการและพนักงานมหาวิทยาลัยสายวิชาการ (ภาระงานวิจัย)</t>
  </si>
  <si>
    <t>มาตรฐานภาระงานอาจารย์ของข้าราชการและพนักงานมหาวิทยาลัยสายวิชาการ (ภาระงานบริการวิชาการ)</t>
  </si>
  <si>
    <t>มาตรฐานภาระงานอาจารย์ของข้าราชการและพนักงานมหาวิทยาลัยสายวิชาการ (ภาระงานบริหารและอื่นๆ)</t>
  </si>
  <si>
    <t>1. อาจารย์ที่ปรึกษาชมรมกิจกรรมนักศึกษา / หอพักนศ.</t>
  </si>
  <si>
    <t>2. อาจารย์ที่ปรึกษานศ. (แต่งตั้งโดยคณะ)</t>
  </si>
  <si>
    <t>3. คณะกรรมการที่หน่วยงานภายในแต่งตั้ง</t>
  </si>
  <si>
    <t>4. การจัดทำโครงการที่เกี่ยวข้องกับสมรรถนะตามที่มหาวิทยาลัย/คณะ กำหนด</t>
  </si>
  <si>
    <t>5. ภาระงานอื่นๆ ที่ได้รับมอบหมาย</t>
  </si>
  <si>
    <t>คิด 6 ชม./บทความ (ใช้เฉพาะในการบริการวิชาการในแต่ละครั้ง)</t>
  </si>
  <si>
    <t>3.5 การไปปฎิบัติงานตามคำเชิญของหน่วยงานภายนอก (เช่น การตรวจสอบ/ประเมินให้กับหน่วยงานภายนอกคณะ/ม./วิพากษ์หลักสูตร/ประธานในที่ประชุมวิชาการ)</t>
  </si>
  <si>
    <t>เกณฑ์มาตรฐานภาระงานสายวิชาการ ต้องไม่น้อยกว่า 35 ชม.ทำการ/สัปดาห์</t>
  </si>
  <si>
    <t>รวมมาตรฐานภาระงานสายวิชาการ</t>
  </si>
  <si>
    <t>(ข) ค่าเป้าหมายตามที่กำหนดใน TOR</t>
  </si>
  <si>
    <t>(ค) รายงานผลสำเร็จของงานตามตัวชี้วัดใน TOR</t>
  </si>
  <si>
    <t>(ง) เอกสารอ้างอิง</t>
  </si>
  <si>
    <t>(จ) น้ำหนัก</t>
  </si>
  <si>
    <t>(ฉ) คะแนน</t>
  </si>
  <si>
    <t>(ช) คะแนนรวม</t>
  </si>
  <si>
    <t>(จ) x (ฉ)</t>
  </si>
  <si>
    <t>โครงการวิจัยทาง วิทยาศาสตร์และเทคโนโลยี</t>
  </si>
  <si>
    <t>โครงการวิจัยทางสังคมศาสตร์และมนุษยศาสตร์</t>
  </si>
  <si>
    <r>
      <t>ผู้บริหาร</t>
    </r>
    <r>
      <rPr>
        <b/>
        <i/>
        <u/>
        <sz val="10"/>
        <color indexed="12"/>
        <rFont val="Arial"/>
        <family val="2"/>
      </rPr>
      <t>ชุด</t>
    </r>
    <r>
      <rPr>
        <b/>
        <i/>
        <sz val="10"/>
        <color indexed="12"/>
        <rFont val="Arial"/>
        <family val="2"/>
      </rPr>
      <t>โครงการวิจัย</t>
    </r>
  </si>
  <si>
    <t>งานวิจัยที่ดำเนินการแล้วเสร็จ</t>
  </si>
  <si>
    <t>2.2.1 ผลงานวิจัยที่ตีพิมพ์/บทความวิจัยที่ตีพิมพ์ (Publications) รวมผลงานวิจัยที่ทำร่วมกับนักศึกษา</t>
  </si>
  <si>
    <t>2.2.2 ผลงานวิจัยที่นำเสนอในที่ประชุมวิชาการ (Preceeding)</t>
  </si>
  <si>
    <t xml:space="preserve">2.2.13 บทความวิชาการ/ผลงานอื่นๆ </t>
  </si>
  <si>
    <t xml:space="preserve">อยู่ในดุลยพินิจของกรรมการคณะ </t>
  </si>
  <si>
    <t>(แนบเอกสารอ้างอิง)</t>
  </si>
  <si>
    <t>1. แนบเอกสารอ้างอิง</t>
  </si>
  <si>
    <t>2. ให้อยู่ในดุลยพินิจของกรรมการคณะ</t>
  </si>
  <si>
    <t>ชุมชน (แนบเอกสารอ้างอิง)</t>
  </si>
  <si>
    <t xml:space="preserve"> 2. กรณีที่กำหนดภาระงานเป็นช่วงหรือค่าสูงสุด ให้คณะกำหนดเพิ่มตามดุลยพินิจของกรรมการประจำคณะ</t>
  </si>
  <si>
    <t xml:space="preserve"> 3.  กรณีที่โครงการวิจัย/ผลงานทางวิชาการมีผู้ร่วมงานมากกว่า  1 คนให้เฉลี่ยภาระงานตาม weight เป็น%ตามสัดส่วนภาระงาน</t>
  </si>
  <si>
    <t xml:space="preserve"> 4. ภาระงานของงานวิจัยที่กำลังดำเนินการ ให้คิดภาระงานตามระยะเวลาของข้อเสนอโครงการวิจัย (กรณีงานวิจัยยังไม่แล้วเสร็จตามกำหนด         จะไม่ได้ภาระงานในช่วงเวลาที่นอกเหนือจากที่โครงการกำหนด)</t>
  </si>
  <si>
    <t xml:space="preserve"> 5.  การคิดวงเงินวิจัย ในกรณีที่โครงการวิจัยที่ระยะเวลาวิจัย &gt;1ปี  ให้ใช้จำนวนเงินวิจัยตามปีที่ปรากฎในข้อเสนอโครงการวิจัย หากในโครงการไม่ได้ระบุจำนวนเงินวิจัยเป็นรายปี ให้หารเฉลี่ย(จำนวนเงินทั้งโครงการหารจำนวนปีที่ดำเนินการ)</t>
  </si>
  <si>
    <t xml:space="preserve"> 6. ภาระงาน ที่กำหนดคิดเป็นปี หากต้องการรายงานเป็นภาคการศึกษาให้หาร 2</t>
  </si>
  <si>
    <t>การเป็นวิทยากร  (แนบเอกสารอ้างอิง)</t>
  </si>
  <si>
    <t>การเป็นผู้ช่วยวิทยากร (แนบเอกสารอ้างอิง)</t>
  </si>
  <si>
    <t>คิดต่อครั้ง (3 ชม. รวมออก,ตรวจข้อสอบ สอบสัมภาษณ์ ฯลฯ เป็นภาระงานของ อ.แต่ละคน)</t>
  </si>
  <si>
    <t xml:space="preserve">เป็นภาระงานรวมของ อ.ผู้ประสานงาน   </t>
  </si>
  <si>
    <t>weight เป็น% กรณี อ. &gt;1 คน</t>
  </si>
  <si>
    <t>นศ.ในรายวิชาที่สอน/อ.ที่ปรึกษา (โดยมีหลักฐานอื่นๆ เช่น สมุดเยี่ยมชม เป็นต้น)</t>
  </si>
  <si>
    <t>4.2 อ.ที่ปรึกษานศ. (แต่งตั้งโดยคณะ)</t>
  </si>
  <si>
    <t>4.1 อ.ที่ปรึกษาชมรมกิจกรรมนักศึกษา / หอพักนศ.</t>
  </si>
  <si>
    <t xml:space="preserve">   1.10 กรณีที่สอนเป็นภาษาอังกฤษ จะได้ภาระงานเพิ่มขึ้นอีกครึ่งหนึ่งของภาระงานสอนปกติ ซึ่งในการสอนเป็นภาษาอังกฤษนี้ ต้องเป็นการสอนที่ได้รับความเห็นชอบจากสาขาวิชา/ภาควิชา/คณะ  โดยเป็นความยินยอมพร้อมใจของผู้สอน และให้พิจารณาความพร้อมของผู้เรียนด้วย รวมทั้งต้องมีการประกาศ/แจ้งให้ผู้เรียนทราบล่วงหน้าก่อนการลงทะเบียนเรียน ภาระงานที่ได้รับเพิ่มขึ้นนี้รวมถึงภาระงานสอนที่เป็นหลักสูตรนานาชาติ (โครงการปกติ)  ทั้งนี้ ไม่รวมการสอนรายวิชาทักษะภาษาอังกฤษที่ต้องสอนเป็นภาษาอังกฤษ  และไม่รวมการสอนโครงการพิเศษที่สอนเป็นภาษาอังกฤษ นอกจากนี้การสอนรายวิชาภาษาอื่น ๆ ที่ต้องสอนด้วยภาษานั้น ๆ  ก็ไม่นับอยู่ในกรณีนี้เช่นกัน คือไม่ได้รับภาระงานเพิ่มตามเงื่อนไขนี้ (ในที่นี้ไม่รวมการสอนของอาจารย์ชาวต่างประเทศ)</t>
  </si>
  <si>
    <t xml:space="preserve">    1.9  ภาระงานสอนนักศึกษาโครงการพิเศษ ให้สามารถนำมาคิดภาระงานได้  โดยกำหนดให้คิดได้ เท่ากับ 30% ของภาระงานสอนในภาคเรียนปกติ  </t>
  </si>
  <si>
    <t xml:space="preserve">    1.8  ภาระงานสอนภาคฤดูร้อน ให้สามารถนำมาคิดภาระงานได้ โดยกำหนดให้คิดเป็นครึ่งหนึ่งของภาระงานสอนในภาคเรียนปกติ</t>
  </si>
  <si>
    <t>อนึ่งให้ได้รับภาระงานสอนเพิ่ม ตามรายละเอียดในข้อ 1.6 ด้วย</t>
  </si>
  <si>
    <t>1 ชั่วโมงสอน</t>
  </si>
  <si>
    <t>3 x 1.00 =</t>
  </si>
  <si>
    <t>กลุ่มที่ 1</t>
  </si>
  <si>
    <t>ภาระงาน (ชั่วโมงทำการ)</t>
  </si>
  <si>
    <t>ปริมาณงาน</t>
  </si>
  <si>
    <t>Factor</t>
  </si>
  <si>
    <t>กลุ่มที่สอนซ้ำ</t>
  </si>
  <si>
    <t>3 x 3.00 =</t>
  </si>
  <si>
    <t>341 คนขึ้นไป</t>
  </si>
  <si>
    <t>3 x 2.75 =</t>
  </si>
  <si>
    <t>301-340 คน</t>
  </si>
  <si>
    <t>3 x 2.50 =</t>
  </si>
  <si>
    <t>261-300 คน</t>
  </si>
  <si>
    <t>3 x 2.25 =</t>
  </si>
  <si>
    <t>221-260 คน</t>
  </si>
  <si>
    <t>3 x 2.00 =</t>
  </si>
  <si>
    <t>181-220 คน</t>
  </si>
  <si>
    <t>3 x 1.75 =</t>
  </si>
  <si>
    <t>141-180 คน</t>
  </si>
  <si>
    <t>3 x 1.50 =</t>
  </si>
  <si>
    <t>101-140 คน</t>
  </si>
  <si>
    <t>3 x 1.25 =</t>
  </si>
  <si>
    <t>61 - 100 คน</t>
  </si>
  <si>
    <t>ขนาดนักศึกษา</t>
  </si>
  <si>
    <t>521 คนขึ้นไป</t>
  </si>
  <si>
    <t>461-520 คน</t>
  </si>
  <si>
    <t>401-460 คน</t>
  </si>
  <si>
    <t>341-400 คน</t>
  </si>
  <si>
    <t>281-340 คน</t>
  </si>
  <si>
    <t>221-280 คน</t>
  </si>
  <si>
    <t>161-220 คน</t>
  </si>
  <si>
    <t>101-160 คน</t>
  </si>
  <si>
    <t xml:space="preserve">    1.6  ชั่วโมงทำการในการสอนบรรยาย จะถูกกำหนดเพิ่มขึ้นตามขนาดชั้นเรียนด้วย  ดังรายละเอียดต่อไปนี้</t>
  </si>
  <si>
    <t xml:space="preserve">    1.5  จำนวนชั่วโมงทำการที่กำหนดในส่วนของภาระงานสอนนั้น ได้รวมเวลาทำงานอื่น ๆ ที่เกี่ยวข้องกับวิชานั้น ๆ ไว้แล้ว  (เช่น ภาระงาน 3 ชั่วโมงทำการสำหรับการสอนบรรยายนักศึกษาปริญญาตรี 1 ชั่วโมง นั้นรวมถึงภาระงานการเตรียมการสอน, ตรวจการบ้าน, และอื่น ๆ ที่เกี่ยวข้องกับการสอนวิชานั้น ๆ แล้ว)    </t>
  </si>
  <si>
    <t xml:space="preserve">         หรือ รายวิชาระดับปริญญาตรี แต่เปิดให้นักศึกษาระดับปริญญาโทร่วมเรียนด้วย   ภาระงานที่ได้ให้กำหนดตามระดับของรายวิชาที่เปิดสอน คือ ปริญญาตรี</t>
  </si>
  <si>
    <t xml:space="preserve">        หรือ รายวิชา 3 หน่วยกิต ตามหลักสูตรควรมีภาระงานเท่ากับ 45 ชั่วโมง  แต่สอนจริงมากกว่าจำนวนชั่วโมงที่กำหนดเป็น 50 ชั่วโมง ให้นับจำนวนชั่วโมงเท่ากับที่กำหนดในหลักสูตร (45 ชั่วโมง)</t>
  </si>
  <si>
    <t xml:space="preserve">        รายวิชาบรรยาย  แต่ในทางปฏิบัติให้นักศึกษาเรียนแบบสัมมนา  ให้กรอกภาระงานสอนเป็นแบบบรรยาย  </t>
  </si>
  <si>
    <t xml:space="preserve">   1.4  การคิดชั่วโมงทำการของภาระงานสอน  ให้ยึดตามจำนวนชั่วโมงสอนและลักษณะการสอนที่กำหนดไว้ในคู่มือการศึกษา /หลักสูตร (TQF) ในกรณีดังกล่าว หากลักษณะการสอนตามที่กำหนดในคู่มือ/หลักสูตรไม่ตรงกับที่อาจารย์สอนจริงในปัจจุบัน ให้ยึดตามหลักสูตร/คู่มือเป็นหลัก (และให้เสนอขอปรับปรุงรายวิชาตามที่เป็นจริงไปยังหน่วยงานที่เกี่ยวข้องต่อไป)   เช่น </t>
  </si>
  <si>
    <t xml:space="preserve">    1.3 ภาระงานสอนนี้ครอบคลุมการสอนทุกประเภท ในที่นี้จำแนกลักษณะการสอนเป็น สอนแบบบรรยาย สอนปฏิบัติการ/คุม lab สอนแบบ PBL (problem based learning)  การทำวิทยานิพนธ์/สารนิพนธ์ของนักศึกษา วิชาสัมมนา/project/ปัญหาพิเศษ  นิเทศงาน คุมนักศึกษาฝึกงาน  และปฏิบัติงานอื่น ๆ ที่เกี่ยวกับการสอนนักศึกษา</t>
  </si>
  <si>
    <t xml:space="preserve">    1.2 การกำหนดชั่วโมงทำการของภาระงานสอนตามบัญชีเทียบภาระงานนี้ กำหนดเป็นภาคการศึกษา  โดยภาระงานสอนในช่วงเดือนเมษายน-เดือนกันยายน เป็นภาระงานภาคฤดูร้อน และภาคการศึกษาที่ 1    ส่วนภาระงานสอนในช่วงเดือนตุลาคม-เดือนมีนาคม เป็นภาระงานสอนภาคการศึกษาที่ 2 </t>
  </si>
  <si>
    <t xml:space="preserve">     1.1  ภาระงานสอนตามเกณฑ์มาตรฐาน กำหนดให้ไม่น้อยกว่า 16 ชั่วโมงทำการ/สัปดาห์  หรือประมาณร้อยละ 40 ของภาระงานทั้งหมด  โดยสามารถปรับเกณฑ์ภาระงานของอาจารย์แต่ละท่านได้ตามความเหมาะสม (ตามดุลยพินิจของกรรมการประจำคณะ) เพื่อให้สอดคล้องกับพันธกิจของภาควิชา คณะ และมหาวิทยาลัย</t>
  </si>
  <si>
    <t xml:space="preserve">    ภาระงานสอน lab ให้คิดการสอน lab นักศึกษาระดับปริญญาตรี 1 หน่วยกิต หรือ 3 ชั่วโมงสอน/สัปดาห์  หรือ 45 ชั่วโมงสอน lab ใน 1 ภาคการศึกษา จะเท่ากับ 75 ชั่วโมงทำการ (มาจากตัวเลข 5 ชั่วโมงทำการ คูณ 15 สัปดาห์) ซึ่งตัวเลข 5 ชั่วโมงทำการที่กำหนดนี้ เป็นการให้ภาระงานสำหรับงานเตรียมการสอน 1 ชั่วโมง สอน lab จริง 3 ชั่วโมง และตรวจข้อสอบหรือรายงานอีก 1 ชั่วโมง  ดังนั้นภาระงานสอน lab นักศึกษาระดับปริญญาตรี 1 วิชา 1 หน่วยกิต 45 ชั่วโมงสอนใน 1 ภาคการศึกษา จะเท่ากับ 75 ชั่วโมงทำการ ส่วนการสอน lab ระดับบัณฑิตศึกษาให้คิดภาระงานเพิ่ม 1.5 เท่าของการสอนระดับปริญญาตรี</t>
  </si>
  <si>
    <t xml:space="preserve">      กำหนดให้ภาระงานสอนบรรยายนักศึกษาปริญญาตรีได้รับภาระงาน เป็น 1 ชั่วโมงสอน เทียบเท่ากับ 3 ชั่วโมงทำการ ดังนั้น การสอนบรรยายนักศึกษาระดับปริญญาตรี 1 หน่วยกิต หรือ 1 ชั่วโมงสอน/สัปดาห์  หรือ 15  ชั่วโมงสอนบรรยายใน 1 ภาคการศึกษา จะเท่ากับ 45 ชั่วโมงทำการ (มาจากตัวเลข 1 หน่วยกิต คูณ 15 สัปดาห์ คูณ 3 ชั่วโมงทำการ) ซึ่งตัวเลข 3 ชั่วโมงทำการที่กำหนดนี้ เป็นการให้ภาระงานสำหรับงานเตรียมการสอน 1 ชั่วโมง บรรยายจริง 1 ชั่วโมง และตรวจข้อสอบหรือรายงานอีก 1 ชั่วโมง  ดังนั้นภาระงานสอนบรรยายนักศึกษาระดับปริญญาตรี 1 วิชา 1 หน่วยกิต 15 ชั่วโมงสอนใน 1 ภาคการศึกษา จะเท่ากับ 45 ชั่วโมงทำการ</t>
  </si>
  <si>
    <r>
      <t xml:space="preserve">ภาระงานสารนิพนธ์ </t>
    </r>
    <r>
      <rPr>
        <b/>
        <sz val="12"/>
        <color indexed="10"/>
        <rFont val="Arial"/>
        <family val="2"/>
      </rPr>
      <t>(สำหรับปริญญาโท)</t>
    </r>
  </si>
  <si>
    <t>กลุ่มที่ 4 เป็นต้นไปกลุ่มละ</t>
  </si>
  <si>
    <t xml:space="preserve">   1.7  กรณีที่มีการสอนซ้ำเป็นกลุ่มที่ 4 , 5 , … เป็นต้นไป   เป็นการสอนในรหัสวิชาเดียวกัน ภาคการศึกษาเดียวกัน โดยอาจารย์สอนคนเดียวกัน จะมีการกำหนดภาระงานให้ลดลง ร้อยละ 25 ตั้งแต่กลุ่มที่ 4 เป็นต้นไป   ดังนั้น  Factor ที่คูณกลุ่มที่ 4 เป็นต้นไป คือ  0.75</t>
  </si>
  <si>
    <t>ค. สอนซ้ำเป็นกลุ่มที่ 4, 5, …</t>
  </si>
  <si>
    <t>การสร้างวัฒนธรรมในองค์กร</t>
  </si>
  <si>
    <t>4.3.5 คณะกรรมการและเลขานุการหลักสูตร/ผู้ประสานงานกลุ่มวิชา</t>
  </si>
  <si>
    <t xml:space="preserve">3.25 การเป็นอาจารย์พิเศษ ม.อื่นๆ </t>
  </si>
  <si>
    <t xml:space="preserve">การเป็นอาจารย์พิเศษมหาวิทยาลัยอื่นๆ </t>
  </si>
  <si>
    <t>ภาระงานสารนิพนธ์ (สำหรับปริญญาโท)</t>
  </si>
  <si>
    <t xml:space="preserve">    วิทยาศาสตร์และเทคโนโลยี</t>
  </si>
  <si>
    <t xml:space="preserve">   สังคมศาสตร์และมนุษยศาสตร์</t>
  </si>
  <si>
    <t xml:space="preserve">  2.1.1.3 ผู้บริหารชุดโครงการวิจัย</t>
  </si>
  <si>
    <t>1.2  วิชาโครงงาน  (project) /งานวิจัยนศ.ป.ตรี/ ปัญหาพิเศษ /การเรียนรู้อิสระ /วิทยานิพนธ์ (ป.ตรี)</t>
  </si>
  <si>
    <t>1.2.1 อาจารย์ที่ปรึกษาโครงงาน 1 โครงการ</t>
  </si>
  <si>
    <t>1.2.2 กรรมการที่ปรึกษาโครงงาน 1 โครงการ</t>
  </si>
  <si>
    <t>1.2.3 กรรมการสอบวิชาโครงงาน/วิจัย /</t>
  </si>
  <si>
    <t xml:space="preserve">1.3 วิชาสัมมนา </t>
  </si>
  <si>
    <t>1.3.1 อาจารย์ที่ปรึกษาวิชาสัมมนา</t>
  </si>
  <si>
    <t>1.3.2 กรรมการสอบ</t>
  </si>
  <si>
    <t>1.3.3 ผู้ประสานงาน/ผู้จัดการ</t>
  </si>
  <si>
    <t>1.4  สหกิจศึกษา (ในประเทศ/ต่างประเทศ)</t>
  </si>
  <si>
    <t>1.4.1 ประธานที่ปรึกษา</t>
  </si>
  <si>
    <t xml:space="preserve">1.4.2 กรรมการที่ปรึกษา   </t>
  </si>
  <si>
    <t>1.4.4 ผู้ประสานงานรายวิชา</t>
  </si>
  <si>
    <t xml:space="preserve">1.4.3 อาจารย์นิเทศนศ.ฝึกงาน/สหกิจ      </t>
  </si>
  <si>
    <t>1.5  วิชาฝึกงาน</t>
  </si>
  <si>
    <t xml:space="preserve">1.5.1 อาจารย์นิเทศนศ.ฝึกงาน/สหกิจ      </t>
  </si>
  <si>
    <t>1.5.2 ผู้ประสานงานรายวิชา/กรรมการ           ประสานงาน</t>
  </si>
  <si>
    <t>1.6  ภาระงานดุษฎีนิพนธ์/ วิทยานิพนธ์/ สารนิพนธ์</t>
  </si>
  <si>
    <t xml:space="preserve">       1.6.1 ประธานที่ปรึกษาดุษฎีนิพนธ์                            </t>
  </si>
  <si>
    <t xml:space="preserve">       1.6.2 กรรมการที่ปรึกษาดุษฎีนิพนธ์                            </t>
  </si>
  <si>
    <t xml:space="preserve">      1.6.3 ประธานที่ปรึกษาวิทยานิพนธ์                           </t>
  </si>
  <si>
    <t xml:space="preserve">      1.6.4 กรรมการที่ปรึกษาวิทยานิพนธ์               </t>
  </si>
  <si>
    <t xml:space="preserve">      1.6.5 ประธานที่ปรึกษาสารนิพนธ์                           </t>
  </si>
  <si>
    <t xml:space="preserve">      1.6.6 กรรมการที่ปรึกษาสารนิพนธ์               </t>
  </si>
  <si>
    <t xml:space="preserve">     1.6.12 กก.สอบประมวลความรอบรู้              (ป.เอก/ป.โท) / กก.สอบวัด                คุณสมบัติ ป.เอก</t>
  </si>
  <si>
    <t>กก.สอบประมวลความรู้ (ป.เอก/ป.โท)</t>
  </si>
  <si>
    <t>คุมสอบ</t>
  </si>
  <si>
    <t>คณะกรรมการและเลขานุการหลักสูตร/ผู้ประสานงานกลุ่มวิชา………………</t>
  </si>
  <si>
    <t xml:space="preserve">    สังคมศาสตร์/มนุษยศาสตร์</t>
  </si>
  <si>
    <t xml:space="preserve">     วิทยาศาสตร์และเทคโนโลยี/วิชาชีพเฉพาะ</t>
  </si>
  <si>
    <t xml:space="preserve">การเป็นอาจารย์พิเศษ ม.อื่นๆ </t>
  </si>
  <si>
    <t>ผู้บริหารของหน่วยงานภายนอกมหาวิทยาลัย (เช่น ผู้อำนวยการโครงการ)</t>
  </si>
  <si>
    <t>ตำแหน่งบริหาร..............................................</t>
  </si>
  <si>
    <t>คณะกรรมการและเลขานุการหลักสูตร/ผู้ประสานกลุ่มวิชา.......</t>
  </si>
  <si>
    <t xml:space="preserve">1.8 ภาระงานสอนอื่นๆ </t>
  </si>
  <si>
    <t>1.8.1 งานคุมสอบตามคำสั่งแต่งตั้งของที่</t>
  </si>
  <si>
    <t xml:space="preserve">1.8.2 ผู้ประสานงานรายวิชา (ที่ไม่ใช่วิชา    </t>
  </si>
  <si>
    <t xml:space="preserve">1.8.4 งานอื่นๆที่เกี่ยวกับการเรียนการสอน </t>
  </si>
  <si>
    <t>1.7 การวิจัยในชั้นเรียน (ที่หน่วยงานต้นสังกัดรับรอง)</t>
  </si>
  <si>
    <t>การวิจัยในชั้นเรียน</t>
  </si>
  <si>
    <r>
      <rPr>
        <b/>
        <sz val="10"/>
        <color indexed="10"/>
        <rFont val="Tahoma"/>
        <family val="2"/>
      </rPr>
      <t>*หมายเหตุ</t>
    </r>
    <r>
      <rPr>
        <sz val="10"/>
        <color indexed="10"/>
        <rFont val="Tahoma"/>
        <family val="2"/>
      </rPr>
      <t xml:space="preserve"> การวิจัยในชั้นเรียนจัดอยู่ในภาระงานสอน เพราะตามความหมาย หมายถึง การวิจัยที่มุ่งนำผลมาใช้ในการแก้ปัญหาการเรียนการสอนที่เกิดขึ้น</t>
    </r>
  </si>
  <si>
    <t xml:space="preserve">        ในชั้นเรียน  หรือการใช้พัฒนาการเรียนการสอน</t>
  </si>
  <si>
    <r>
      <t>รวม</t>
    </r>
    <r>
      <rPr>
        <b/>
        <u/>
        <sz val="9"/>
        <color indexed="12"/>
        <rFont val="Arial"/>
        <family val="2"/>
      </rPr>
      <t>ร้อยละน้ำหนัก</t>
    </r>
    <r>
      <rPr>
        <b/>
        <sz val="9"/>
        <color indexed="12"/>
        <rFont val="Arial"/>
        <family val="2"/>
      </rPr>
      <t>ภาระงานตามพันธกิจ</t>
    </r>
  </si>
  <si>
    <t>ค่าน้ำหนัก (ร้อยละ)</t>
  </si>
  <si>
    <r>
      <t>รวม</t>
    </r>
    <r>
      <rPr>
        <b/>
        <sz val="10"/>
        <color indexed="12"/>
        <rFont val="Arial"/>
        <family val="2"/>
      </rPr>
      <t xml:space="preserve"> (*คิดเฉพาะภาระงานบริหารที่สูงสุด)</t>
    </r>
  </si>
  <si>
    <t>ผู้บริหารของหน่วยงานภายนอกมหาวิทยาลัย</t>
  </si>
  <si>
    <t>* ผู้บริหาร(ระดับสูง/ระดับต้น/อื่นๆ) จะคิดภาระงานเฉพาะตำแหน่งสูงสุด 1 ตำแหน่ง</t>
  </si>
  <si>
    <r>
      <t>จำนวนสมรรถนะที่มีระดับของสมรรถนะ</t>
    </r>
    <r>
      <rPr>
        <b/>
        <u/>
        <sz val="13"/>
        <rFont val="TH Niramit AS"/>
      </rPr>
      <t>สูงกว่า</t>
    </r>
    <r>
      <rPr>
        <sz val="13"/>
        <rFont val="TH Niramit AS"/>
      </rPr>
      <t>หรือ</t>
    </r>
    <r>
      <rPr>
        <b/>
        <u/>
        <sz val="13"/>
        <rFont val="TH Niramit AS"/>
      </rPr>
      <t>เท่ากับ</t>
    </r>
    <r>
      <rPr>
        <sz val="13"/>
        <rFont val="TH Niramit AS"/>
      </rPr>
      <t>ระดับของสมรรถนะมาตรฐาน</t>
    </r>
  </si>
  <si>
    <r>
      <t>จำนวนสมรรถนะที่มีระดับของสมรรถนะ</t>
    </r>
    <r>
      <rPr>
        <b/>
        <u/>
        <sz val="13"/>
        <rFont val="TH Niramit AS"/>
      </rPr>
      <t>ต่ำกว่า</t>
    </r>
    <r>
      <rPr>
        <sz val="13"/>
        <rFont val="TH Niramit AS"/>
      </rPr>
      <t xml:space="preserve">ระดับของสมรรถนะมาตรฐาน </t>
    </r>
    <r>
      <rPr>
        <b/>
        <u/>
        <sz val="13"/>
        <rFont val="TH Niramit AS"/>
      </rPr>
      <t>1 ระดับ</t>
    </r>
  </si>
  <si>
    <r>
      <t>จำนวนสมรรถนะที่มีระดับของสมรรถนะ</t>
    </r>
    <r>
      <rPr>
        <b/>
        <u/>
        <sz val="13"/>
        <rFont val="TH Niramit AS"/>
      </rPr>
      <t>ต่ำกว่า</t>
    </r>
    <r>
      <rPr>
        <sz val="13"/>
        <rFont val="TH Niramit AS"/>
      </rPr>
      <t xml:space="preserve">ระดับของสมรรถนะมาตรฐาน </t>
    </r>
    <r>
      <rPr>
        <b/>
        <u/>
        <sz val="13"/>
        <rFont val="TH Niramit AS"/>
      </rPr>
      <t>2 ระดับ</t>
    </r>
  </si>
  <si>
    <r>
      <t>จำนวนสมรรถนะที่มีระดับของสมรรถนะ</t>
    </r>
    <r>
      <rPr>
        <b/>
        <u/>
        <sz val="13"/>
        <rFont val="TH Niramit AS"/>
      </rPr>
      <t>ต่ำกว่า</t>
    </r>
    <r>
      <rPr>
        <sz val="13"/>
        <rFont val="TH Niramit AS"/>
      </rPr>
      <t xml:space="preserve">ระดับของสมรรถนะมาตรฐาน </t>
    </r>
    <r>
      <rPr>
        <b/>
        <u/>
        <sz val="13"/>
        <rFont val="TH Niramit AS"/>
      </rPr>
      <t>3 ระดับ</t>
    </r>
  </si>
  <si>
    <t>4.7 การจัดทำโครงการที่</t>
  </si>
  <si>
    <t>4.6 ผู้บริหารของหน่วยงานภายนอกมหาวิทยาลัย</t>
  </si>
  <si>
    <t xml:space="preserve"> (เช่น ผู้อำนวยการโครงการ)</t>
  </si>
  <si>
    <t>4.8 การจัดทำโครงการที่เกี่ยวข้องกับสมรรถนะตามที่มหาวิทยาลัย/คณะ กำหนด</t>
  </si>
  <si>
    <t>4.9 ภาระงานอื่นๆ นอกเหนือจากที่ระบุข้างต้น</t>
  </si>
  <si>
    <t>4.7.1 จัดโครงการ/กิจกรรม</t>
  </si>
  <si>
    <t>4.7.2 เข้าร่วมโครงการ/กิจกรรม</t>
  </si>
  <si>
    <t xml:space="preserve">4.8.1 จัดโครงการ/กิจกรรมสมรรถนะ 1เรื่อง/ 1ครั้ง </t>
  </si>
  <si>
    <t>4.8.2 เข้าร่วมโครงการ/กิจกรรมสมรรถนะ</t>
  </si>
  <si>
    <t xml:space="preserve">4.7.3 กิจกรรมทางศาสนาอื่นๆ </t>
  </si>
  <si>
    <t>4.7.4 การสร้างวัฒนธรรมในองค์กร</t>
  </si>
  <si>
    <t xml:space="preserve"> * - กรณีดำรงตำแหน่งให้ใส่เลข 1 ในช่องจำนวนที่ท่านดำรงตำแหน่ง ยกเว้นตัวแทนสภาคณาจารย์ ให้ใส่จำนวนชั่วโมงประชุม</t>
  </si>
  <si>
    <t xml:space="preserve">    - สำหรับตำแหน่งการเป็นผู้บริหาร (ระดับสูง/ระดับต้น/อื่นๆ) จะคิดเฉพาะภาระงานในตำแหน่งที่สูงสุด</t>
  </si>
  <si>
    <t xml:space="preserve">คิด 1 ชั่วโมงคุมlab = 1.7 ชั่วโมงทำการ </t>
  </si>
  <si>
    <t>คิด 1 ชั่วโมงคุม lab = 1.7 ชั่วโมงทำการ            (1.7 คูณ 1)</t>
  </si>
  <si>
    <t>คิด 1 ชั่วโมงคุมlab = 1.70 ชั่วโมงทำงาน         (1.7 คูณ 1)</t>
  </si>
  <si>
    <t>คิด 1 ชั่วโมงคุมlab = 1.7 ชั่วโมงทำการ</t>
  </si>
  <si>
    <t>1.2.4 ผู้ประสานงานรายวิชา</t>
  </si>
  <si>
    <t>1.2.5 นิเทศฝึกงานในวิชาเรียนรู้อิสระ</t>
  </si>
  <si>
    <t>สมรรถนะผู้บริหาร</t>
  </si>
  <si>
    <t xml:space="preserve">หมายเหตุ </t>
  </si>
  <si>
    <t xml:space="preserve">- ผู้บังคับบัญชาชั้นต้น ได้แก่ ประธานหลักสูตร หรือหัวหน้ากลุ่มสาขาวิชา </t>
  </si>
  <si>
    <t>- ผู้บังคับบัญชาระดับเหนือขึ้นไป ได้แก่ คณบดี หรือตำแหน่งที่เทียบเท่า</t>
  </si>
  <si>
    <t>(1) สรุปคะแนนด้านภาระงานบริหาร = ผลคะแนนรวมของ(คะแนน x น้ำหนัก) / 5</t>
  </si>
  <si>
    <t>(2) สรุปคะแนนด้านภาระงานตามพันธกิจ = ผลคะแนนรวมของ(คะแนน x น้ำหนัก) / 5</t>
  </si>
  <si>
    <t>(3) สรุปคะแนนด้านภาระงานอื่นๆ ที่ได้รับมอบหมาย = ผลคะแนนรวมของ(คะแนน x น้ำหนัก) / 5</t>
  </si>
  <si>
    <t>(4) สรุปคะแนนด้านการประเมินการพัฒนาตนเอง = ผลคะแนนรวมของ(คะแนน x น้ำหนัก) / 5</t>
  </si>
  <si>
    <t>(5) สรุปคะแนนด้านผลการประเมินการประกันคุณภาพหน่วยงาน= ผลคะแนนรวมของ(คะแนน x น้ำหนัก)/5</t>
  </si>
  <si>
    <t>(ซ) สรุปคะแนนส่วนผลสัมฤทธิ์ของงาน =ผลรวมของ (1)+(2)+(3)+(4)+(5)</t>
  </si>
  <si>
    <t>(1) มาตรฐาน</t>
  </si>
  <si>
    <t>(2) ประเมินตนเอง</t>
  </si>
  <si>
    <t xml:space="preserve">(3) ประเมินโดยผู้บังคับบัญชา </t>
  </si>
  <si>
    <t>(4) สรุปผลการประเมิน</t>
  </si>
  <si>
    <t>(5) ค่าผลต่าง (4) - (1)</t>
  </si>
  <si>
    <t>คณะกรรมการสภามหาวิทยาลัยจากผู้แทนสายวิชาการ</t>
  </si>
  <si>
    <r>
      <t xml:space="preserve">คณะกรรมการสภาคณาจารย์จากผู้แทนสายวิชาการ </t>
    </r>
    <r>
      <rPr>
        <sz val="10"/>
        <color indexed="10"/>
        <rFont val="Arial"/>
        <family val="2"/>
      </rPr>
      <t>(หน่วย = จำนวนชั่วโมงประชุม)</t>
    </r>
  </si>
  <si>
    <t>คณะกรรมการสภาคณาจารย์จากผู้แทนสายวิชาการ</t>
  </si>
  <si>
    <t>ง.  การกำหนดภาระงานบริการวิชาการแก่สังคม</t>
  </si>
  <si>
    <t>- การเตรียมโครงการ</t>
  </si>
  <si>
    <t>- การดำเนินโครงการ</t>
  </si>
  <si>
    <t>ส่วนที่ 3 การคำนวนภาระงานบริการวิชาการแก่สังคม</t>
  </si>
  <si>
    <t xml:space="preserve">3.21 การให้บริการทางวิชาการแก่บุคคลหรือหน่วยงานภายนอกสถานศึกษา  </t>
  </si>
  <si>
    <t>3.22 การให้บริการทางวิชาการแก่บุคคลหรือหน่วยงานภายนอกสถานศึกษา นักศึกษา/บุคลากรอื่นๆ  ไม่รวมการให้คำปรึกษาแก่</t>
  </si>
  <si>
    <t>(ต้องได้รับการเห็นชอบจากหน่วยงานต้นสังกัด)</t>
  </si>
  <si>
    <t>แผ่นพับ/โปสเตอร์</t>
  </si>
  <si>
    <t>บทความ</t>
  </si>
  <si>
    <t>หนังสือ</t>
  </si>
  <si>
    <t>โปรแกรม/สื่อมัลติมีเดียอื่นๆ</t>
  </si>
  <si>
    <t>จำนวนผลงาน</t>
  </si>
  <si>
    <t xml:space="preserve"> (ชิ้น)</t>
  </si>
  <si>
    <t>งานวิจัยที่ได้รับทุน</t>
  </si>
  <si>
    <t>บทความทั่วไป</t>
  </si>
  <si>
    <t>บทความที่ 6</t>
  </si>
  <si>
    <t>บทความที่ 7</t>
  </si>
  <si>
    <t>บทความที่ 8</t>
  </si>
  <si>
    <t>บทความที่ 9</t>
  </si>
  <si>
    <t>บทความที่ 10</t>
  </si>
  <si>
    <t>สิทธิบัตร/อนุสิทธิบัตร/ลิขสิทธิ์</t>
  </si>
  <si>
    <t>……..ชื่อหัวข้อบรรยาย……</t>
  </si>
  <si>
    <t>ตีพิมพ์ในวารสารวิชาการระดับชาติ</t>
  </si>
  <si>
    <t>ตีพิมพ์ในวารสารวิชาการระดับนานาชาติ</t>
  </si>
  <si>
    <t>……..ชื่อหน่วยงาน/แหล่งทุน……</t>
  </si>
  <si>
    <t xml:space="preserve">4.5.2 ประธานสภาข้าราชการ </t>
  </si>
  <si>
    <t xml:space="preserve">       พนักงานและลูกจ้าง</t>
  </si>
  <si>
    <t>ข้าราชการ พนักงานและ</t>
  </si>
  <si>
    <t>ลูกจ้าง</t>
  </si>
  <si>
    <t>ประธานสภาข้าราชการ พนักงานและลูกจ้าง</t>
  </si>
  <si>
    <t>- ระดับชาติ</t>
  </si>
  <si>
    <t>- ระดับนานาชาติ</t>
  </si>
  <si>
    <t>ผู้ช่วยคณบดี/ประธานหลักสูตร/ประธานสภาคณาจารย์</t>
  </si>
  <si>
    <t>โปรแกรมการคำนวณภาระงานสายวิชาการ (APS v2.2)</t>
  </si>
  <si>
    <t>ผู้รับผิดชอบโครงการเสริมทักษะการเรียนการสอน (ซึ่งไม่อยู่ในรายวิชา และต้องได้รับการเสนอผ่านคณะ)         เช่น ทัศนศึกษานอกสถานที่ อบรมความรู้ทางวิชาการ เป็นต้น</t>
  </si>
  <si>
    <t>ภาพถ่าย</t>
  </si>
  <si>
    <t xml:space="preserve">บทความวิชาการ (academic paper) </t>
  </si>
  <si>
    <t>สิ่งพิมพ์ (แผ่นพับ/โปสเตอร์)</t>
  </si>
  <si>
    <t>สิ่งเขียน (บทความ)</t>
  </si>
  <si>
    <t>โปรแกรมคอมพิวเตอร์</t>
  </si>
  <si>
    <t>ผลงานวิจัยที่ตีพิมพ์ / บทความวิจัยที่ตีพิมพ์ (Publications) รวมผลงานวิจัยที่ทำร่วมกับนักศึกษา</t>
  </si>
  <si>
    <t>( ปรับปรุง กุมภาพันธ์ 2555)</t>
  </si>
  <si>
    <t xml:space="preserve">    2.7 ผลงานวิจัยที่นำเสนอในที่ประชุมวิชาการ (Proceedings) หมายถึง ผลงานวิชาการที่ได้นำเสนอในที่ประชุมวิชาการ ทั้งในระดับประเทศ หรือนานาชาติ  ที่เป็นการนำเสนอในรูปแบบ oral หรือ poster   โดยอาจมีภาระงานเป็นผู้นำเสนอผลงานหลักหรือเป็นผู้ร่วมเสนอผลงานก็ได้</t>
  </si>
  <si>
    <t xml:space="preserve">   2.6  ผลงานวิจัยที่ตีพิมพ์ / บทความวิจัยที่ตีพิมพ์ในวารสาร (Publications)  หมายถึง  ผลงานที่เขียน/จัดทำขึ้น โดยนำเนื้อหาจากผลงานวิจัยที่กำลังทำอยู่ หรือทำเสร็จไปแล้ว มีการกำหนดปัญหาและวัตถุประสงค์ที่ชัดเจน มีการรวบรวมข้อมูล วิเคราะห์ สรุปและอภิปรายผลการวิจัย อันนำไปสู่ความก้าวหน้าทางวิชาการ ไปลงตีพิมพ์ในวารสารทางวิชาการ  ในที่นี้รวมถึงบทความที่จัดทำขึ้นโดยนำเอาผลงานวิทยานิพนธ์/สารนิพนธ์ของนักศึกษา จากการเป็นอาจารย์ที่ปรึกษาวิทยานิพนธ์/สารนิพนธ์ของนักศึกษา ไปลงตีพิมพ์ในวารสารทางวิชาการด้วย (ทั้งนี้ต้องมีชื่ออาจารย์ที่ได้ภาระงานปรากฏอยู่ในฐานะผู้แต่งหลัก/ผู้แต่งร่วม)   แต่ยกเว้น กรณีที่เป็นผลงานวิทยานิพนธ์ของอาจารย์เอง หรือผลงานวิจัยที่อาจารย์ทำเพื่อให้สำเร็จการศึกษาในระดับปริญญาโท หรือปริญญาเอก</t>
  </si>
  <si>
    <t xml:space="preserve">    2.9  บทความปริทัศน์ (reviewed article) หมายถึง ผลงานทางวิชาการที่จัดทำขึ้นและได้รับการตีพิมพ์ในเอกสาร/วารสารทางวิชาการ  โดยมีการสรุปวิเคราะห์ สังเคราะห์ความรู้จากผลงานวิจัย และ/หรือผลงานวิชาการอื่น ๆ ได้อย่างชัดเจน</t>
  </si>
  <si>
    <t xml:space="preserve">    2.10  บทความทั่วไป เป็นบทความที่ผู้เขียนอาจกำหนดหัวข้อจากประเด็นที่ตนสนใจ เรื่องราวที่พบเห็น หรือประเด็นต่อเนื่องจากงานของผู้อื่น หรือจากการอ่าน จากการสนทนากับผู้ที่สนใจงานวิชาการในศาสตร์หรือสาขาวิชาที่ตนศึกษา อาจเป็นการทบทวนทฤษฎี วรรณกรรม ประเด็นปัญหา โดยพิมพ์ในนิตยสารหรือวารสารซึ่งจัดทำสำหรับผู้อ่านที่ไม่จำเป็นต้องมีความเชี่ยวชาญในสาขาวิชานั้นโดยเฉพาะ มีเนื้อหาที่อ่านเข้าใจง่าย </t>
  </si>
  <si>
    <t xml:space="preserve">    2.11  ตำรา หมายถึง เอกสารทางวิชาการที่เรียบเรียงอย่างเป็นระบบ อาจเขียนเพื่อตอบสนองเนื้อหาทั้งหมดของรายวิชา หรือส่วนหนึ่งของวิชาหรือหลักสูตรก็ได้ โดยมีการวิเคราะห์และสังเคราะห์ความรู้ที่เกี่ยวข้องและสะท้อนให้เห็นความสามารถในการถ่ายทอดวิชาในระดับอุดมศึกษา</t>
  </si>
  <si>
    <t xml:space="preserve">    2.12 หนังสือ หมายถึง เอกสารทางวิชาการที่เขียนขึ้นเพื่อเผยแพร่ความรู้ไปสู่วงวิชาการ และ/หรือผู้อ่านทั่วไป  โดยไม่จำเป็นต้องเป็นไปตามข้อกำหนดของหลักสูตร หรือต้องนำมาประกอบการเรียนการสอนในวิชาใดวิชาหนึ่ง ทั้งนี้จะต้องเป็นเอกสารที่เรียบเรียงขึ้นอย่างมีเอกภาพ มีรากฐานทางวิชาการที่มั่นคง  ให้ทัศนะของผู้เขียนที่สร้างเสริมปัญญาความคิด  สร้างความแข็งแกร่งทางวิชาการให้แก่สาขาวิชานั้น ๆ และ/หรือสาขาวิชาที่เกี่ยวเนื่อง   </t>
  </si>
  <si>
    <t xml:space="preserve">   2.13  กรณีที่กำหนดชั่วโมงทำการ เป็นช่วงหรือค่าสูงสุด ให้คณะกำหนดเพิ่มตามดุลยพินิจของกรรมการประจำคณะ</t>
  </si>
  <si>
    <t xml:space="preserve">   2.14 ชั่วโมงทำการของภาระงานวิจัยที่กำหนดเป็นภาระงานทั้งปี หากต้องการรายงานเป็นภาคการศึกษาให้หาร 2</t>
  </si>
  <si>
    <t>1.8.3 ผู้รับผิดชอบโครงการเสริมทักษะการ</t>
  </si>
  <si>
    <t>การเตรียมโครงการ</t>
  </si>
  <si>
    <t xml:space="preserve">       เรียนการสอน (ซึ่งไม่อยู่ในรายวิชา </t>
  </si>
  <si>
    <t>การดำเนินโครงการ</t>
  </si>
  <si>
    <t xml:space="preserve">       และต้องได้รับการเสนอผ่านคณะ)                      </t>
  </si>
  <si>
    <t>2.2.5 บทความทั่วไป</t>
  </si>
  <si>
    <t>2.2.6  ตำรา-หนังสือ</t>
  </si>
  <si>
    <t>2.2.7 เอกสารคำสอน-เอกสาร</t>
  </si>
  <si>
    <t>2.2.8 คู่มือต่างๆ / Monograph</t>
  </si>
  <si>
    <t>2.2.9 Virtual classroom / สื่อการ</t>
  </si>
  <si>
    <t>2.2.10 นวัตกรรม/สิ่งประดิษฐ์/</t>
  </si>
  <si>
    <t>2.2.11  สิทธิบัตร/อนุสิทธิบัตร/ลิขสิทธิ์</t>
  </si>
  <si>
    <t xml:space="preserve">ระดับนานาชาติ </t>
  </si>
  <si>
    <t xml:space="preserve">             - ลิขสิทธิ์</t>
  </si>
  <si>
    <t>คิดต่อ 1 ชิ้น (แนบเอกสารอ้างอิง)</t>
  </si>
  <si>
    <t>2.2.12  ผลงานที่ได้นำไปใช้</t>
  </si>
  <si>
    <t>2.2.3 บทความวิชาการ (academic</t>
  </si>
  <si>
    <t xml:space="preserve">        paper)</t>
  </si>
  <si>
    <t xml:space="preserve">2.2.4 บทความปริทัศน์ (reviewed </t>
  </si>
  <si>
    <t xml:space="preserve">       article)</t>
  </si>
  <si>
    <t>2.1.1 งานวิจัยที่ได้รับทุน</t>
  </si>
  <si>
    <t>โสตทัศนวัสดุ/สื่อมัลติมีเดียอื่นๆ</t>
  </si>
  <si>
    <t xml:space="preserve">    3.8.1 นำเสนอในที่ประชุมวิชาการ </t>
  </si>
  <si>
    <t>คิดต่อจำนวนบทความ</t>
  </si>
  <si>
    <t xml:space="preserve">            (Proceedings)</t>
  </si>
  <si>
    <t xml:space="preserve">    3.8.2 วารสาร</t>
  </si>
  <si>
    <t>การให้บริการทางวิชาการแก่บุคคลหรือหน่วยงานภายนอกสถานศึกษา  (ต้องได้รับการเห็นชอบจากหน่วยงานต้นสังกัด)</t>
  </si>
  <si>
    <t>ส่วนที่ 3 ภาระงานบริการวิชาการแก่สังคม</t>
  </si>
  <si>
    <t>หรือ กรณีนักศึกษาปริญญาโท  มีการลงทะเบียนเรียนเป็นเทอม แต่ในทางปฏิบัติจัดการเรียนการสอนเป็นปี   ให้กรอกภาระงานให้สอดคล้องตามภาคเรียนที่นักศึกษาลงทะเบียนจริง    หรือในกรณีคุมวิทยานิพนธ์ ภาระงานอาจารย์จะปรากฎตามจำนวนหน่วยกิตและภาคเรียนที่นักศึกษาลงทะเบียนเท่านั้น  หากต้องให้คำปรึกษานักศึกษาก่อน/หลังภาคเรียนที่ลงทะเบียนแล้ว ไม่สามารถนับเป็นภาระงานคุมวิทยานิพนธ์ได้อีก</t>
  </si>
  <si>
    <t>การให้บริการทางวิชาการแก่บุคคลหรือหน่วยงานภายนอกสถานศึกษา</t>
  </si>
  <si>
    <t>การให้บริการทางวิชาการอื่นๆ โดยมีหลักฐานอื่นๆ เช่น สมุดเยี่ยมชม</t>
  </si>
  <si>
    <t>(ที่มา : คู่มือการประเมินคุณภาพภายนอกรอบสาม (พ.ศ.2554 - 2558) ระดับอุดมศึกษา ฉบับสถานศึกษา (แก้ไขเพิ่มเติม พฤศจิกายน 2554). หน้า 32)</t>
  </si>
  <si>
    <t xml:space="preserve">    2.8  บทความวิชาการ (academic paper)  หมายถึง เอกสารทางวิชาการที่เรียบเรียงอย่างเป็นระบบ มีข้อความรู้ที่สะท้อนมุมมอง แนวคิดเชิงทฤษฎีที่ได้จากประสบการณ์ การสังเคราะห์เอกสาร หรือ การวิจัย โดยจัดทำในรูปของบทความเพื่อตีพิมพ์เผยแพร่ในวารสารวิชาการที่มีคุณภาพซึ่งมีผู้ตรวจอ่าน  </t>
  </si>
  <si>
    <t xml:space="preserve">         การให้บริการวิชาการแก่สังคม หมายถึง การที่สถานศึกษาระดับอุดมศึกษามีการให้บริการวิชาการที่ครอบคลุมกลุ่มเป้าหมายที่เฉพาะเจาะจงทั้งในประเทศและต่างประเทศ ซึ่งอาจให้บริการโดยการใช้ทรัพยากรของสถานศึกษา หรือใช้ทรัพยากรร่วมกันทั้งในระดับสถาบันและระดับบุคคลในหลายลักษณะ อาทิ การให้คำปรึกษา การศึกษา วิจัยค้นคว้า เพื่อแสวงหาคำตอบให้กับสังคม การฝึกอบรมหลักสูตรระยะสั้นต่างๆ การจัดให้มีการศึกาต่อเนื่อง บริการศิษย์เก่าและประชาชนทั่วไป การให้บริการทางวิชาการนี้สามารถจัดในรูปแบบการให้บริการแบบให้เปล่าด้วยสำนึกความรับผิดชอบของความเป็นสถานศึกษาระดับอุดมศึกษาในฐานะที่เป็นที่พึ่งของสังคม หรือเป็นการให้บริการเชิงพาณิชย์ที่ให้ผลตอบแทนเป็นรายได้ หรือเป็นข้อมูลย้อนกลับมาพัฒนาและปรับปรุงเพื่อให้เกิดองค์ความรู้ใหม่ การให้บริการทางวิชาการโดยการถ่ายทอดเทคโนโลยีและองค์ความรู้ใหม่ที่เป็นประโยชน์ เป็นที่พึ่งและแหล่งอ้างอิงทางวิชาการ เสนอแนะแนวทางที่เหมาะสม สอดคล้อง อันก่อให้เกิด ความมั่นคง ความเข้มแข็ง และการพัฒนาที่ยั่งยืนของชุมชน สังคม ประเทศชาติและนานาชาติ ตลอดจนการส่งเสริมการมีบทบาททางวิชาการ และวิชาชีพในการตอบสนอง ชี้นำ และเตือนสติสังคมของสถานศึกษาระดับอุมศึกษา โดยคำนึงถึงความรับผิดชอบต่อสาธารณะ</t>
  </si>
  <si>
    <t>รอบการประเมินที่ 1/2556 (1 ตุลาคม 2555 - 31 มีนาคม 2556)</t>
  </si>
  <si>
    <t xml:space="preserve">   2. การคิดภาระงานด้านอื่นให้คิดตั้งแต่วันที่ 1 ตุลาคม 2555  - 31 มีนาคม 2556</t>
  </si>
  <si>
    <t xml:space="preserve">   1. การคิดภาระงานสอน และการเป็นอาจารย์คุมสอบให้คิดตามภาคการศึกษาที่ 2/2555 คือ ตั้งแต่วันที่ 1 ตุลาคม 2555 -  31 มีนาคม 2556</t>
  </si>
  <si>
    <t>องค์ประกอบที่ 1  : ผลสัมฤทธิ์ของงาน    (ร้อยละ 80 )</t>
  </si>
  <si>
    <t>องค์ประกอบที่ 2  : พฤติกรรมการปฏิบัติราชการ    (ร้อยละ 20)</t>
  </si>
  <si>
    <t>(จ) สรุปคะแนนส่วนพฤติกรรมการปฏิบัติราชการ (สมรรถนะ)  = [(ผลรวมของค่าคะแนน / (จำนวนสมรรถนะที่ใช้ในการประเมิน x 3 คะแนน)] x 20</t>
  </si>
  <si>
    <t xml:space="preserve">   ปฎิบัติงานตั้งแต่     [ / ]  ครั้งที่ 1/2556            :   วันที่   1  ตุลาคม  2555   ถึง วันที่  31  มีนาคม  2556</t>
  </si>
  <si>
    <t xml:space="preserve"> เท่ากับ 3.73 </t>
  </si>
  <si>
    <t>1  อบรมการเขียนตำราและเอกสารทางวิชาการ</t>
  </si>
  <si>
    <t>หนังสือ ศธ0523.21.2/ว226</t>
  </si>
  <si>
    <r>
      <rPr>
        <b/>
        <sz val="10"/>
        <rFont val="Arial"/>
        <family val="2"/>
      </rPr>
      <t>ตำแหน่งวิชาการ</t>
    </r>
    <r>
      <rPr>
        <sz val="10"/>
        <rFont val="Arial"/>
        <family val="2"/>
      </rPr>
      <t xml:space="preserve">    ผู้ช่วยศาสตราจารย์</t>
    </r>
  </si>
  <si>
    <r>
      <rPr>
        <b/>
        <sz val="10"/>
        <rFont val="Arial"/>
        <family val="2"/>
      </rPr>
      <t>ชื่อ</t>
    </r>
    <r>
      <rPr>
        <sz val="10"/>
        <rFont val="Arial"/>
        <family val="2"/>
      </rPr>
      <t xml:space="preserve">   นางสาววารุณี  ศิริจรจารุ</t>
    </r>
  </si>
  <si>
    <t>สังกัด  สาขาวิชาอารักขาพืช  คณะผลิตกรรมการเกษตร</t>
  </si>
  <si>
    <t>กฎ 431  สัณฐานวิทยาของแมลง</t>
  </si>
  <si>
    <t>กฎ 440 สารเคมีป้องกันกำจัดศัตรูพืช</t>
  </si>
  <si>
    <t>กฎ 200 แมลงกับสังคมมนุษย์</t>
  </si>
  <si>
    <t>กฎ 440  สารเคมีป้องกันกำจัดศัตรูพืช</t>
  </si>
  <si>
    <t>กิจกรรมเตรียมความพร้อมสหกิจศึกษา</t>
  </si>
  <si>
    <t>การแพร่ระบาดของด้วงรังผึ้ง</t>
  </si>
  <si>
    <t>รูปแบบรังที่ส่งเสริมการเพาะเลี้ยงชันโรงฯ</t>
  </si>
  <si>
    <t>เตรียมความพร้อมสหกิจศึกษา คณะสารเสนเทศ</t>
  </si>
  <si>
    <t>เตรียมความพร้อมสหกิจศึกษา คณะศิลปศาสตร์</t>
  </si>
  <si>
    <t>สหกิจศึกษา คณะบริหารธุรกิจ</t>
  </si>
  <si>
    <t>เตรียมความพร้อมสหกิจศึกษา สาขาวิชาอารักขาพืช</t>
  </si>
  <si>
    <t>วิทยากรสหกิจศึกษาของ สกอ.</t>
  </si>
  <si>
    <t>อาจารย์ ดร. ศมาพร  แสงยศ</t>
  </si>
  <si>
    <t>ความรู้ทั่วไปเกี่ยวกับชันโรง</t>
  </si>
  <si>
    <t>ฐานเรียนรู้ผึ้งชันโรง  งาน field day และนักศึกษาเข้าเยี่ยมชมฐาน</t>
  </si>
  <si>
    <t>รายการทีวีเกษตร มาถ่ายทำรายการ "การเพาะเลี้ยงชันโรงในเชิงการค้า"</t>
  </si>
  <si>
    <t>ฐานเรียนรู้ผึ้งชันโรง</t>
  </si>
  <si>
    <t>ธนาคารเพื่อการเกษตรและสหกรณ์ อำเภอเขาสมิง จังหวัดตราด</t>
  </si>
  <si>
    <t xml:space="preserve">International Conference on Interdisciplinary Research </t>
  </si>
  <si>
    <t>โครงการธรรมะเปลี่ยนชีวิตครั้งที่ 7</t>
  </si>
  <si>
    <t>ถวายซุ้มประตูวัดสีคิ้ววนาราม</t>
  </si>
  <si>
    <t>ทำบุญเลี้ยงพระ</t>
  </si>
  <si>
    <t>ถวายผ้าห่มองค์พระที่อินเดีย</t>
  </si>
  <si>
    <t>งานปอยหลวง</t>
  </si>
  <si>
    <t>เวียนเทียนวันมาฆบูชา</t>
  </si>
  <si>
    <t>ฟังธรรมบรรยายหลวงปู่ท่อน หลวงพ่อวิริยังค์</t>
  </si>
  <si>
    <t>ถวายสังฆทาน</t>
  </si>
  <si>
    <t>ร่วมงานเมาลิด</t>
  </si>
  <si>
    <t>งานลอยกระทง ยี่เป็งเชียงใหม่</t>
  </si>
  <si>
    <t>คณะกรรมการประจำหลักสูตร วทม. เทคโนโลยีหลังการเก็บเกี่ยว</t>
  </si>
  <si>
    <t>คณะกรรมการหลักสูตร วทบ. วิทยาการสมุนไพร</t>
  </si>
  <si>
    <t>กรรมการสาขาวิชาอารักขาพืช</t>
  </si>
  <si>
    <t>กรรมการสหกิจศึกษามหาวิทยาลัยแม่โจ้</t>
  </si>
  <si>
    <t>กรรมการงานพระราชปริญญาบัตรมหาวิทยาลัยแม่โจ้ 2555</t>
  </si>
  <si>
    <t>หัวหน้าฐานเรียนรู้ผึ้งชันโรง</t>
  </si>
  <si>
    <t>ภาระงานอื่น ๆ ที่ได้รับมอบหมาย  (ร้อยละ 20)</t>
  </si>
  <si>
    <t>ประจำปี 2555</t>
  </si>
  <si>
    <t xml:space="preserve">                                        ( ผศ. ดร. วารุณี  ศิริจรจารุ )</t>
  </si>
  <si>
    <t>(ผศ.ดร.วารุณี  ศิริจรจารุ)</t>
  </si>
  <si>
    <t>(  อ. ดร. ชัชวิจก์  ถนอมถิ่น         )</t>
  </si>
  <si>
    <t>(  รศ. ประวิตร  พุทธานนท์ )</t>
  </si>
  <si>
    <t>โปรแกรม AVS_v.2.2 1-56</t>
  </si>
  <si>
    <t>บริหารงานหลักสูตรได้ตามที่ สกอ กำหนด</t>
  </si>
  <si>
    <t>คณะกรรมการร่างหลักสูตร วทม.(เกษตรศาสตร์) สาขาอารักขาพืช</t>
  </si>
  <si>
    <t>คณะกรรมการแข่งขันกีฬาทักษะเกษตร</t>
  </si>
  <si>
    <t>คณะกรรมการกีฬาสี่จอบแห่งชาติครั้งที่ 30</t>
  </si>
  <si>
    <t>การเพาะเลี้ยงชันโรงในเชิงการค้า รุ่นที่ 6</t>
  </si>
  <si>
    <t>2  พัฒนาองค์ความรู้เกี่ยวกับการเพาะเลี้ยงชันโรง</t>
  </si>
  <si>
    <t>website ฐานเรียนรู้ผึ้งชันโรง</t>
  </si>
  <si>
    <t>1.  กำหนดเกณฑ์มาตรฐานในการเทียบภาระงานสอน เป็นชั่วโมงทำการ ดังนี้</t>
  </si>
  <si>
    <t>กรรมการสหกิจศึกษา สาขาวิชาอารักขาพืช</t>
  </si>
  <si>
    <t>กรรมการร่างหลักสูตร วทม. อารักขาพืช</t>
  </si>
  <si>
    <t>เตรียมความพร้อมสหกิจศึกษา สมุนไพร</t>
  </si>
  <si>
    <t xml:space="preserve">     บุคลากรสายวิชาการต้องมีภาระงานไม่ต่ำกว่า 35 ชั่วโมงทำการ/สัปดาห์ ตามพันธกิจทั้ง 4 ด้าน ดังนี้ ก) งานสอน ไม่น้อยกว่า 16 ชั่วโมงทำการ/สัปดาห์   ข) งานวิจัยและผลงานทางวิชาการ ไม่น้อยกว่า 4 ชั่วโมงทำการ/สัปดาห์  ค) งานบริการทางวิชาการ ไม่น้อยกว่า 3 ชั่วโมงทำการ/สัปดาห์  ง) งานทำนุบำรุงศิลปวัฒนธรรม ไม่น้อยกว่า 1 ชั่วโมงทำการ/สัปดาห์  ทั้งนี้จำนวนชั่วโมงที่เหลืออีก 11 ชั่วโมงทำการ สามารถเพิ่มเติมในพันธกิจใดตามศักยภาพให้ครบ 35 ชั่วโมงทำการ/สัปดาห์ </t>
  </si>
  <si>
    <t>ข.  กรอบภาระงาน (Work Load)</t>
  </si>
  <si>
    <t xml:space="preserve">       การกำหนดภาระงานมาตรฐาน 35 ชั่วโมงทำการ/สัปดาห์ กำหนดโดยอิงเกณฑ์ประกาศ ก.พ.อ. และข้อบังคับมหาวิทยาลัยแม่โจ้ เรื่องมาตรฐานภาระงานทางวิชาการของผู้ดำรงตำแหน่งอาจารย์ ผู้ช่วยศาสตราจารย์ รองศาสตราจารย์ และศาสตราจารย์ ที่กำหนดให้บุคลากรสายวิชาการต้องมีภาระงานในแต่ละภาคการศึกษาไม่น้อยกว่า 35 ชั่วโมงทำการ/สัปดาห์ ดังนั้น ใน 1 ภาคการศึกษา ต้องมีภาระงานไม่น้อยกว่า 525 ชั่วโมงทำการ (มาจากตัวเลข 35 ชั่วโมง คูณ 15 สัปดาห์) </t>
  </si>
  <si>
    <t>ก.  ที่มาของ 35 ชั่วโมงทำการ/สัปดาห์</t>
  </si>
  <si>
    <t>คำชี้แจง</t>
  </si>
  <si>
    <t>สรุปจากการประชุมครั้งที่ 4/2546 วันที่ 21 เมษายน 2546</t>
  </si>
  <si>
    <t>ลักษณะงาน/ผลงาน</t>
  </si>
  <si>
    <t>เกณฑ์มาตรฐาน</t>
  </si>
</sst>
</file>

<file path=xl/styles.xml><?xml version="1.0" encoding="utf-8"?>
<styleSheet xmlns="http://schemas.openxmlformats.org/spreadsheetml/2006/main">
  <numFmts count="3">
    <numFmt numFmtId="187" formatCode="0.0000"/>
    <numFmt numFmtId="188" formatCode="0.000"/>
    <numFmt numFmtId="189" formatCode="0.0"/>
  </numFmts>
  <fonts count="110">
    <font>
      <sz val="10"/>
      <name val="Arial"/>
      <charset val="22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sz val="10"/>
      <color indexed="12"/>
      <name val="Arial"/>
      <family val="2"/>
    </font>
    <font>
      <b/>
      <u/>
      <sz val="12"/>
      <name val="Arial"/>
      <family val="2"/>
    </font>
    <font>
      <b/>
      <sz val="11"/>
      <color indexed="12"/>
      <name val="Arial"/>
      <family val="2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1"/>
      <color indexed="60"/>
      <name val="Arial"/>
      <family val="2"/>
    </font>
    <font>
      <sz val="11"/>
      <color indexed="60"/>
      <name val="Arial"/>
      <family val="2"/>
    </font>
    <font>
      <sz val="14"/>
      <name val="Angsana New"/>
      <family val="1"/>
    </font>
    <font>
      <sz val="14"/>
      <color indexed="12"/>
      <name val="Angsana New"/>
      <family val="1"/>
    </font>
    <font>
      <b/>
      <sz val="11"/>
      <color indexed="17"/>
      <name val="Arial"/>
      <family val="2"/>
    </font>
    <font>
      <b/>
      <sz val="14"/>
      <color indexed="17"/>
      <name val="Arial"/>
      <family val="2"/>
    </font>
    <font>
      <sz val="14"/>
      <name val="Cordia New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indexed="17"/>
      <name val="Arial"/>
      <family val="2"/>
    </font>
    <font>
      <b/>
      <i/>
      <sz val="10"/>
      <color indexed="12"/>
      <name val="Arial"/>
      <family val="2"/>
    </font>
    <font>
      <b/>
      <i/>
      <sz val="10"/>
      <color indexed="10"/>
      <name val="Arial"/>
      <family val="2"/>
    </font>
    <font>
      <i/>
      <sz val="10"/>
      <name val="Arial"/>
      <family val="2"/>
    </font>
    <font>
      <sz val="11"/>
      <name val="Tahoma"/>
      <family val="2"/>
    </font>
    <font>
      <sz val="10"/>
      <name val="Tahoma"/>
      <family val="2"/>
    </font>
    <font>
      <sz val="10"/>
      <color indexed="8"/>
      <name val="Tahoma"/>
      <family val="2"/>
    </font>
    <font>
      <sz val="10"/>
      <color indexed="12"/>
      <name val="Tahoma"/>
      <family val="2"/>
    </font>
    <font>
      <b/>
      <sz val="10"/>
      <color indexed="12"/>
      <name val="Tahoma"/>
      <family val="2"/>
    </font>
    <font>
      <sz val="10"/>
      <color indexed="10"/>
      <name val="Tahoma"/>
      <family val="2"/>
    </font>
    <font>
      <sz val="10"/>
      <color indexed="12"/>
      <name val="Tahoma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i/>
      <sz val="10"/>
      <color indexed="12"/>
      <name val="Arial"/>
      <family val="2"/>
    </font>
    <font>
      <b/>
      <u/>
      <sz val="10"/>
      <color indexed="16"/>
      <name val="Arial"/>
      <family val="2"/>
    </font>
    <font>
      <b/>
      <u/>
      <sz val="14"/>
      <color indexed="12"/>
      <name val="Arial"/>
      <family val="2"/>
    </font>
    <font>
      <sz val="16"/>
      <name val="TH Niramit AS"/>
    </font>
    <font>
      <b/>
      <sz val="16"/>
      <name val="TH Niramit AS"/>
    </font>
    <font>
      <b/>
      <sz val="10"/>
      <color indexed="21"/>
      <name val="Arial"/>
      <family val="2"/>
    </font>
    <font>
      <sz val="10"/>
      <color indexed="21"/>
      <name val="Arial"/>
      <family val="2"/>
    </font>
    <font>
      <sz val="8"/>
      <name val="Arial"/>
      <family val="2"/>
    </font>
    <font>
      <sz val="16"/>
      <color indexed="10"/>
      <name val="TH Niramit AS"/>
    </font>
    <font>
      <sz val="11"/>
      <color indexed="10"/>
      <name val="Arial"/>
      <family val="2"/>
    </font>
    <font>
      <sz val="14"/>
      <name val="TH Niramit AS"/>
    </font>
    <font>
      <sz val="13"/>
      <name val="TH Niramit AS"/>
    </font>
    <font>
      <sz val="14"/>
      <color indexed="10"/>
      <name val="TH Niramit AS"/>
    </font>
    <font>
      <sz val="15"/>
      <name val="TH Niramit AS"/>
    </font>
    <font>
      <b/>
      <sz val="10"/>
      <color indexed="10"/>
      <name val="Arial"/>
      <family val="2"/>
    </font>
    <font>
      <sz val="10"/>
      <color indexed="61"/>
      <name val="Arial"/>
      <family val="2"/>
    </font>
    <font>
      <sz val="10"/>
      <color indexed="17"/>
      <name val="Arial"/>
      <family val="2"/>
    </font>
    <font>
      <sz val="10"/>
      <color indexed="60"/>
      <name val="Arial"/>
      <family val="2"/>
    </font>
    <font>
      <sz val="10"/>
      <color indexed="30"/>
      <name val="Arial"/>
      <family val="2"/>
    </font>
    <font>
      <b/>
      <sz val="12"/>
      <color indexed="12"/>
      <name val="Arial"/>
      <family val="2"/>
    </font>
    <font>
      <sz val="12"/>
      <color indexed="12"/>
      <name val="Arial"/>
      <family val="2"/>
    </font>
    <font>
      <sz val="14"/>
      <color indexed="8"/>
      <name val="TH Niramit AS"/>
    </font>
    <font>
      <sz val="14"/>
      <name val="Cordia New"/>
      <family val="2"/>
    </font>
    <font>
      <sz val="15"/>
      <color indexed="8"/>
      <name val="TH Niramit AS"/>
    </font>
    <font>
      <b/>
      <sz val="15"/>
      <name val="TH Niramit AS"/>
    </font>
    <font>
      <b/>
      <u/>
      <sz val="16"/>
      <name val="TH Niramit AS"/>
    </font>
    <font>
      <b/>
      <sz val="18"/>
      <name val="TH Niramit AS"/>
    </font>
    <font>
      <u/>
      <sz val="14"/>
      <name val="Angsana New"/>
      <family val="1"/>
    </font>
    <font>
      <b/>
      <sz val="9"/>
      <name val="Arial"/>
      <family val="2"/>
    </font>
    <font>
      <b/>
      <sz val="10"/>
      <name val="Tahoma"/>
      <family val="2"/>
    </font>
    <font>
      <b/>
      <sz val="13"/>
      <color indexed="17"/>
      <name val="Arial"/>
      <family val="2"/>
    </font>
    <font>
      <sz val="14"/>
      <color indexed="17"/>
      <name val="Arial"/>
      <family val="2"/>
    </font>
    <font>
      <sz val="10"/>
      <color indexed="53"/>
      <name val="Tahoma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10"/>
      <name val="Tahoma"/>
      <family val="2"/>
    </font>
    <font>
      <b/>
      <sz val="10"/>
      <color indexed="10"/>
      <name val="Tahoma"/>
      <family val="2"/>
    </font>
    <font>
      <sz val="8"/>
      <color indexed="10"/>
      <name val="Arial"/>
      <family val="2"/>
    </font>
    <font>
      <sz val="12"/>
      <name val="Tahoma"/>
      <family val="2"/>
    </font>
    <font>
      <sz val="9"/>
      <color indexed="12"/>
      <name val="Arial"/>
      <family val="2"/>
    </font>
    <font>
      <sz val="8"/>
      <color indexed="12"/>
      <name val="Arial"/>
      <family val="2"/>
    </font>
    <font>
      <b/>
      <sz val="17"/>
      <name val="TH Niramit AS"/>
    </font>
    <font>
      <sz val="8"/>
      <name val="Arial"/>
      <family val="2"/>
    </font>
    <font>
      <sz val="8"/>
      <name val="Arial"/>
      <family val="2"/>
    </font>
    <font>
      <b/>
      <sz val="8"/>
      <color indexed="12"/>
      <name val="Arial"/>
      <family val="2"/>
    </font>
    <font>
      <b/>
      <sz val="9"/>
      <color indexed="12"/>
      <name val="Arial"/>
      <family val="2"/>
    </font>
    <font>
      <b/>
      <sz val="8"/>
      <name val="Arial"/>
      <family val="2"/>
    </font>
    <font>
      <i/>
      <sz val="14"/>
      <name val="TH Niramit AS"/>
    </font>
    <font>
      <b/>
      <sz val="14"/>
      <name val="TH Niramit AS"/>
    </font>
    <font>
      <b/>
      <sz val="14"/>
      <color indexed="10"/>
      <name val="TH Niramit AS"/>
    </font>
    <font>
      <sz val="10"/>
      <name val="TH Niramit AS"/>
    </font>
    <font>
      <b/>
      <u/>
      <sz val="14"/>
      <name val="TH Niramit AS"/>
    </font>
    <font>
      <sz val="13"/>
      <color indexed="12"/>
      <name val="TH Niramit AS"/>
    </font>
    <font>
      <sz val="14"/>
      <color indexed="12"/>
      <name val="TH Niramit AS"/>
    </font>
    <font>
      <b/>
      <sz val="13"/>
      <name val="TH Niramit AS"/>
    </font>
    <font>
      <u/>
      <sz val="14"/>
      <name val="TH Niramit AS"/>
    </font>
    <font>
      <sz val="15"/>
      <name val="Webdings"/>
      <family val="1"/>
      <charset val="2"/>
    </font>
    <font>
      <sz val="13"/>
      <color indexed="10"/>
      <name val="TH Niramit AS"/>
    </font>
    <font>
      <u/>
      <sz val="16"/>
      <name val="TH Niramit AS"/>
    </font>
    <font>
      <b/>
      <sz val="16"/>
      <color indexed="10"/>
      <name val="TH Niramit AS"/>
    </font>
    <font>
      <b/>
      <sz val="12"/>
      <name val="TH Niramit AS"/>
    </font>
    <font>
      <b/>
      <sz val="12"/>
      <color indexed="8"/>
      <name val="TH Niramit AS"/>
    </font>
    <font>
      <b/>
      <i/>
      <u/>
      <sz val="10"/>
      <color indexed="12"/>
      <name val="Arial"/>
      <family val="2"/>
    </font>
    <font>
      <b/>
      <sz val="12"/>
      <color indexed="10"/>
      <name val="Arial"/>
      <family val="2"/>
    </font>
    <font>
      <u/>
      <sz val="9"/>
      <color indexed="81"/>
      <name val="Tahoma"/>
      <family val="2"/>
    </font>
    <font>
      <b/>
      <sz val="10"/>
      <color indexed="53"/>
      <name val="Arial"/>
      <family val="2"/>
    </font>
    <font>
      <b/>
      <u/>
      <sz val="9"/>
      <color indexed="12"/>
      <name val="Arial"/>
      <family val="2"/>
    </font>
    <font>
      <b/>
      <u/>
      <sz val="13"/>
      <name val="TH Niramit AS"/>
    </font>
    <font>
      <i/>
      <u/>
      <sz val="13"/>
      <name val="TH Niramit AS"/>
    </font>
    <font>
      <i/>
      <sz val="13"/>
      <name val="TH Niramit AS"/>
    </font>
    <font>
      <b/>
      <sz val="7"/>
      <color indexed="12"/>
      <name val="Arial"/>
      <family val="2"/>
    </font>
    <font>
      <sz val="10"/>
      <color indexed="10"/>
      <name val="Tahoma"/>
      <family val="2"/>
    </font>
    <font>
      <b/>
      <sz val="10"/>
      <color indexed="10"/>
      <name val="Tahoma"/>
      <family val="2"/>
    </font>
    <font>
      <sz val="10"/>
      <color indexed="10"/>
      <name val="Arial"/>
      <family val="2"/>
    </font>
    <font>
      <sz val="8"/>
      <name val="Arial"/>
      <charset val="222"/>
    </font>
  </fonts>
  <fills count="1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8" fillId="0" borderId="0"/>
    <xf numFmtId="0" fontId="2" fillId="0" borderId="0"/>
    <xf numFmtId="0" fontId="57" fillId="0" borderId="0"/>
    <xf numFmtId="0" fontId="18" fillId="0" borderId="0"/>
  </cellStyleXfs>
  <cellXfs count="1437">
    <xf numFmtId="0" fontId="0" fillId="0" borderId="0" xfId="0"/>
    <xf numFmtId="0" fontId="45" fillId="0" borderId="0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7" fillId="0" borderId="1" xfId="0" applyFont="1" applyBorder="1" applyAlignment="1" applyProtection="1">
      <alignment horizontal="center"/>
      <protection locked="0"/>
    </xf>
    <xf numFmtId="0" fontId="27" fillId="0" borderId="3" xfId="0" applyFont="1" applyFill="1" applyBorder="1" applyAlignment="1" applyProtection="1">
      <alignment horizontal="center" vertical="center"/>
      <protection locked="0"/>
    </xf>
    <xf numFmtId="0" fontId="27" fillId="0" borderId="2" xfId="0" applyFont="1" applyFill="1" applyBorder="1" applyAlignment="1" applyProtection="1">
      <alignment horizontal="center"/>
      <protection locked="0"/>
    </xf>
    <xf numFmtId="0" fontId="27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Protection="1"/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/>
    <xf numFmtId="0" fontId="2" fillId="0" borderId="0" xfId="1" applyFont="1" applyFill="1" applyBorder="1" applyAlignment="1" applyProtection="1">
      <alignment vertical="top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7" xfId="0" applyFont="1" applyBorder="1" applyAlignment="1" applyProtection="1">
      <protection locked="0"/>
    </xf>
    <xf numFmtId="0" fontId="45" fillId="0" borderId="0" xfId="3" applyFont="1"/>
    <xf numFmtId="0" fontId="45" fillId="0" borderId="0" xfId="3" applyFont="1" applyBorder="1"/>
    <xf numFmtId="0" fontId="48" fillId="0" borderId="7" xfId="3" applyFont="1" applyBorder="1" applyAlignment="1">
      <alignment vertical="top" wrapText="1"/>
    </xf>
    <xf numFmtId="0" fontId="45" fillId="0" borderId="1" xfId="3" applyFont="1" applyBorder="1"/>
    <xf numFmtId="0" fontId="39" fillId="0" borderId="12" xfId="3" applyFont="1" applyFill="1" applyBorder="1" applyAlignment="1">
      <alignment horizontal="center"/>
    </xf>
    <xf numFmtId="0" fontId="39" fillId="0" borderId="13" xfId="3" applyFont="1" applyFill="1" applyBorder="1" applyAlignment="1">
      <alignment horizontal="center"/>
    </xf>
    <xf numFmtId="0" fontId="38" fillId="0" borderId="2" xfId="3" applyFont="1" applyFill="1" applyBorder="1"/>
    <xf numFmtId="0" fontId="45" fillId="0" borderId="2" xfId="3" applyFont="1" applyBorder="1"/>
    <xf numFmtId="0" fontId="45" fillId="0" borderId="10" xfId="3" applyFont="1" applyBorder="1"/>
    <xf numFmtId="0" fontId="38" fillId="0" borderId="1" xfId="3" applyFont="1" applyFill="1" applyBorder="1"/>
    <xf numFmtId="0" fontId="38" fillId="0" borderId="10" xfId="3" applyFont="1" applyFill="1" applyBorder="1" applyAlignment="1">
      <alignment vertical="top" wrapText="1"/>
    </xf>
    <xf numFmtId="0" fontId="38" fillId="0" borderId="1" xfId="3" applyFont="1" applyFill="1" applyBorder="1" applyAlignment="1">
      <alignment vertical="top" wrapText="1"/>
    </xf>
    <xf numFmtId="0" fontId="38" fillId="0" borderId="7" xfId="3" applyFont="1" applyFill="1" applyBorder="1" applyAlignment="1">
      <alignment horizontal="center" vertical="top"/>
    </xf>
    <xf numFmtId="0" fontId="38" fillId="0" borderId="10" xfId="3" applyFont="1" applyFill="1" applyBorder="1"/>
    <xf numFmtId="0" fontId="38" fillId="0" borderId="1" xfId="3" applyFont="1" applyFill="1" applyBorder="1" applyAlignment="1">
      <alignment horizontal="left" vertical="top"/>
    </xf>
    <xf numFmtId="189" fontId="38" fillId="0" borderId="7" xfId="3" applyNumberFormat="1" applyFont="1" applyFill="1" applyBorder="1" applyAlignment="1">
      <alignment horizontal="center" vertical="top"/>
    </xf>
    <xf numFmtId="0" fontId="38" fillId="0" borderId="7" xfId="3" applyFont="1" applyFill="1" applyBorder="1" applyAlignment="1">
      <alignment vertical="top" wrapText="1"/>
    </xf>
    <xf numFmtId="0" fontId="45" fillId="0" borderId="0" xfId="3" applyFont="1" applyFill="1"/>
    <xf numFmtId="0" fontId="39" fillId="0" borderId="14" xfId="3" applyFont="1" applyFill="1" applyBorder="1" applyAlignment="1">
      <alignment horizontal="center"/>
    </xf>
    <xf numFmtId="0" fontId="45" fillId="0" borderId="1" xfId="3" applyFont="1" applyFill="1" applyBorder="1" applyAlignment="1">
      <alignment horizontal="center" vertical="top"/>
    </xf>
    <xf numFmtId="0" fontId="38" fillId="0" borderId="1" xfId="3" applyFont="1" applyFill="1" applyBorder="1" applyAlignment="1">
      <alignment horizontal="right" vertical="top"/>
    </xf>
    <xf numFmtId="0" fontId="38" fillId="0" borderId="7" xfId="3" applyFont="1" applyFill="1" applyBorder="1" applyAlignment="1">
      <alignment horizontal="left" vertical="top" wrapText="1"/>
    </xf>
    <xf numFmtId="0" fontId="38" fillId="0" borderId="15" xfId="3" applyFont="1" applyFill="1" applyBorder="1" applyAlignment="1">
      <alignment vertical="top" wrapText="1"/>
    </xf>
    <xf numFmtId="0" fontId="39" fillId="0" borderId="13" xfId="3" applyFont="1" applyBorder="1" applyAlignment="1">
      <alignment horizontal="center"/>
    </xf>
    <xf numFmtId="0" fontId="61" fillId="0" borderId="9" xfId="3" applyFont="1" applyFill="1" applyBorder="1"/>
    <xf numFmtId="0" fontId="38" fillId="0" borderId="6" xfId="3" applyFont="1" applyFill="1" applyBorder="1"/>
    <xf numFmtId="0" fontId="39" fillId="0" borderId="10" xfId="3" applyFont="1" applyFill="1" applyBorder="1" applyAlignment="1">
      <alignment vertical="center"/>
    </xf>
    <xf numFmtId="0" fontId="48" fillId="0" borderId="7" xfId="3" applyFont="1" applyBorder="1"/>
    <xf numFmtId="0" fontId="38" fillId="0" borderId="7" xfId="3" applyFont="1" applyFill="1" applyBorder="1" applyAlignment="1">
      <alignment horizontal="left" wrapText="1"/>
    </xf>
    <xf numFmtId="189" fontId="38" fillId="0" borderId="7" xfId="3" applyNumberFormat="1" applyFont="1" applyFill="1" applyBorder="1" applyAlignment="1">
      <alignment horizontal="center" wrapText="1"/>
    </xf>
    <xf numFmtId="0" fontId="48" fillId="0" borderId="7" xfId="3" quotePrefix="1" applyFont="1" applyBorder="1" applyAlignment="1">
      <alignment wrapText="1"/>
    </xf>
    <xf numFmtId="0" fontId="38" fillId="0" borderId="7" xfId="3" applyFont="1" applyBorder="1" applyAlignment="1">
      <alignment vertical="top" wrapText="1"/>
    </xf>
    <xf numFmtId="189" fontId="38" fillId="0" borderId="1" xfId="3" applyNumberFormat="1" applyFont="1" applyFill="1" applyBorder="1" applyAlignment="1">
      <alignment horizontal="center" vertical="top"/>
    </xf>
    <xf numFmtId="189" fontId="38" fillId="0" borderId="7" xfId="3" applyNumberFormat="1" applyFont="1" applyFill="1" applyBorder="1" applyAlignment="1">
      <alignment horizontal="center" vertical="top" wrapText="1"/>
    </xf>
    <xf numFmtId="0" fontId="48" fillId="0" borderId="1" xfId="3" applyFont="1" applyBorder="1" applyAlignment="1">
      <alignment vertical="top" wrapText="1"/>
    </xf>
    <xf numFmtId="0" fontId="38" fillId="0" borderId="0" xfId="3" applyFont="1" applyBorder="1"/>
    <xf numFmtId="187" fontId="38" fillId="0" borderId="7" xfId="3" applyNumberFormat="1" applyFont="1" applyFill="1" applyBorder="1" applyAlignment="1">
      <alignment horizontal="center" vertical="top"/>
    </xf>
    <xf numFmtId="2" fontId="38" fillId="0" borderId="7" xfId="3" quotePrefix="1" applyNumberFormat="1" applyFont="1" applyFill="1" applyBorder="1" applyAlignment="1">
      <alignment horizontal="left" vertical="top"/>
    </xf>
    <xf numFmtId="1" fontId="45" fillId="0" borderId="0" xfId="3" applyNumberFormat="1" applyFont="1"/>
    <xf numFmtId="0" fontId="39" fillId="0" borderId="16" xfId="3" applyFont="1" applyFill="1" applyBorder="1"/>
    <xf numFmtId="0" fontId="38" fillId="0" borderId="4" xfId="3" applyFont="1" applyFill="1" applyBorder="1" applyAlignment="1">
      <alignment vertical="top"/>
    </xf>
    <xf numFmtId="0" fontId="38" fillId="0" borderId="15" xfId="3" applyFont="1" applyFill="1" applyBorder="1" applyAlignment="1">
      <alignment horizontal="center" vertical="top" wrapText="1"/>
    </xf>
    <xf numFmtId="0" fontId="39" fillId="0" borderId="0" xfId="3" applyFont="1" applyFill="1" applyBorder="1"/>
    <xf numFmtId="0" fontId="69" fillId="0" borderId="0" xfId="0" applyFont="1" applyBorder="1" applyProtection="1">
      <protection locked="0"/>
    </xf>
    <xf numFmtId="0" fontId="27" fillId="0" borderId="1" xfId="0" applyFont="1" applyFill="1" applyBorder="1" applyAlignment="1" applyProtection="1">
      <alignment horizontal="center" vertical="center"/>
      <protection locked="0"/>
    </xf>
    <xf numFmtId="0" fontId="27" fillId="0" borderId="7" xfId="0" applyFont="1" applyBorder="1" applyAlignment="1" applyProtection="1">
      <alignment horizontal="center"/>
    </xf>
    <xf numFmtId="0" fontId="70" fillId="0" borderId="7" xfId="0" applyFont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7" xfId="0" applyFont="1" applyBorder="1" applyProtection="1">
      <protection locked="0"/>
    </xf>
    <xf numFmtId="2" fontId="29" fillId="0" borderId="3" xfId="0" applyNumberFormat="1" applyFont="1" applyBorder="1" applyAlignment="1" applyProtection="1">
      <alignment horizontal="center" vertical="center"/>
    </xf>
    <xf numFmtId="1" fontId="38" fillId="0" borderId="7" xfId="3" applyNumberFormat="1" applyFont="1" applyFill="1" applyBorder="1" applyAlignment="1">
      <alignment horizontal="center" vertical="top" wrapText="1"/>
    </xf>
    <xf numFmtId="0" fontId="37" fillId="0" borderId="0" xfId="0" applyFont="1" applyBorder="1" applyProtection="1"/>
    <xf numFmtId="0" fontId="3" fillId="0" borderId="0" xfId="0" applyFont="1" applyProtection="1"/>
    <xf numFmtId="0" fontId="6" fillId="0" borderId="0" xfId="0" applyFont="1" applyProtection="1"/>
    <xf numFmtId="0" fontId="3" fillId="0" borderId="0" xfId="0" applyFont="1" applyAlignment="1" applyProtection="1">
      <alignment horizontal="center"/>
    </xf>
    <xf numFmtId="0" fontId="17" fillId="2" borderId="14" xfId="0" applyFont="1" applyFill="1" applyBorder="1" applyAlignment="1" applyProtection="1">
      <alignment horizontal="center"/>
    </xf>
    <xf numFmtId="0" fontId="17" fillId="2" borderId="18" xfId="0" applyFont="1" applyFill="1" applyBorder="1" applyAlignment="1" applyProtection="1">
      <alignment horizontal="left"/>
    </xf>
    <xf numFmtId="0" fontId="3" fillId="2" borderId="18" xfId="0" applyFont="1" applyFill="1" applyBorder="1" applyProtection="1"/>
    <xf numFmtId="0" fontId="3" fillId="2" borderId="18" xfId="0" applyFont="1" applyFill="1" applyBorder="1" applyAlignment="1" applyProtection="1">
      <alignment horizontal="center"/>
    </xf>
    <xf numFmtId="0" fontId="13" fillId="2" borderId="18" xfId="0" applyFont="1" applyFill="1" applyBorder="1" applyAlignment="1" applyProtection="1">
      <alignment horizontal="center" wrapText="1"/>
    </xf>
    <xf numFmtId="0" fontId="3" fillId="2" borderId="18" xfId="0" applyFont="1" applyFill="1" applyBorder="1" applyAlignment="1" applyProtection="1">
      <alignment horizontal="center" wrapText="1"/>
    </xf>
    <xf numFmtId="0" fontId="12" fillId="2" borderId="12" xfId="0" applyFont="1" applyFill="1" applyBorder="1" applyAlignment="1" applyProtection="1">
      <alignment horizontal="center" wrapText="1"/>
    </xf>
    <xf numFmtId="0" fontId="22" fillId="3" borderId="14" xfId="0" applyFont="1" applyFill="1" applyBorder="1" applyAlignment="1" applyProtection="1">
      <alignment horizontal="right"/>
    </xf>
    <xf numFmtId="0" fontId="22" fillId="3" borderId="18" xfId="0" applyFont="1" applyFill="1" applyBorder="1" applyAlignment="1" applyProtection="1">
      <alignment horizontal="left"/>
    </xf>
    <xf numFmtId="0" fontId="3" fillId="3" borderId="18" xfId="0" applyFont="1" applyFill="1" applyBorder="1" applyProtection="1"/>
    <xf numFmtId="0" fontId="3" fillId="3" borderId="18" xfId="0" applyFont="1" applyFill="1" applyBorder="1" applyAlignment="1" applyProtection="1">
      <alignment horizontal="center"/>
    </xf>
    <xf numFmtId="0" fontId="13" fillId="3" borderId="18" xfId="0" applyFont="1" applyFill="1" applyBorder="1" applyAlignment="1" applyProtection="1">
      <alignment horizontal="center" wrapText="1"/>
    </xf>
    <xf numFmtId="0" fontId="3" fillId="3" borderId="18" xfId="0" applyFont="1" applyFill="1" applyBorder="1" applyAlignment="1" applyProtection="1">
      <alignment horizontal="center" wrapText="1"/>
    </xf>
    <xf numFmtId="0" fontId="12" fillId="3" borderId="12" xfId="0" applyFont="1" applyFill="1" applyBorder="1" applyAlignment="1" applyProtection="1">
      <alignment horizontal="center" wrapText="1"/>
    </xf>
    <xf numFmtId="0" fontId="16" fillId="0" borderId="16" xfId="0" applyFont="1" applyBorder="1" applyAlignment="1" applyProtection="1">
      <alignment horizontal="left"/>
    </xf>
    <xf numFmtId="0" fontId="22" fillId="0" borderId="19" xfId="0" applyFont="1" applyBorder="1" applyAlignment="1" applyProtection="1">
      <alignment horizontal="left"/>
    </xf>
    <xf numFmtId="0" fontId="3" fillId="0" borderId="0" xfId="0" applyFont="1" applyBorder="1" applyProtection="1"/>
    <xf numFmtId="0" fontId="3" fillId="0" borderId="14" xfId="0" applyFont="1" applyBorder="1" applyAlignment="1" applyProtection="1">
      <alignment horizontal="center"/>
    </xf>
    <xf numFmtId="0" fontId="13" fillId="0" borderId="18" xfId="0" applyFont="1" applyBorder="1" applyAlignment="1" applyProtection="1">
      <alignment horizontal="center" wrapText="1"/>
    </xf>
    <xf numFmtId="0" fontId="3" fillId="0" borderId="18" xfId="0" applyFont="1" applyBorder="1" applyAlignment="1" applyProtection="1">
      <alignment horizontal="center" wrapText="1"/>
    </xf>
    <xf numFmtId="0" fontId="12" fillId="0" borderId="12" xfId="0" applyFont="1" applyBorder="1" applyAlignment="1" applyProtection="1">
      <alignment horizontal="center" wrapText="1"/>
    </xf>
    <xf numFmtId="0" fontId="5" fillId="0" borderId="9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63" fillId="0" borderId="2" xfId="0" applyFont="1" applyBorder="1" applyAlignment="1" applyProtection="1">
      <alignment horizontal="center"/>
    </xf>
    <xf numFmtId="0" fontId="11" fillId="0" borderId="2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/>
    </xf>
    <xf numFmtId="0" fontId="11" fillId="0" borderId="19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 vertical="center" wrapText="1"/>
    </xf>
    <xf numFmtId="0" fontId="63" fillId="0" borderId="4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23" fillId="0" borderId="0" xfId="0" applyFont="1" applyBorder="1" applyProtection="1"/>
    <xf numFmtId="0" fontId="25" fillId="0" borderId="5" xfId="0" applyFont="1" applyBorder="1" applyProtection="1"/>
    <xf numFmtId="0" fontId="2" fillId="0" borderId="2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wrapText="1"/>
    </xf>
    <xf numFmtId="0" fontId="11" fillId="0" borderId="2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/>
    </xf>
    <xf numFmtId="2" fontId="7" fillId="0" borderId="1" xfId="0" applyNumberFormat="1" applyFont="1" applyBorder="1" applyAlignment="1" applyProtection="1">
      <alignment horizontal="center"/>
    </xf>
    <xf numFmtId="0" fontId="2" fillId="0" borderId="20" xfId="0" applyFont="1" applyBorder="1" applyProtection="1"/>
    <xf numFmtId="2" fontId="11" fillId="4" borderId="21" xfId="0" applyNumberFormat="1" applyFont="1" applyFill="1" applyBorder="1" applyProtection="1"/>
    <xf numFmtId="0" fontId="11" fillId="4" borderId="22" xfId="0" applyFont="1" applyFill="1" applyBorder="1" applyAlignment="1" applyProtection="1">
      <alignment horizontal="right"/>
    </xf>
    <xf numFmtId="0" fontId="2" fillId="4" borderId="22" xfId="0" applyFont="1" applyFill="1" applyBorder="1" applyAlignment="1" applyProtection="1">
      <alignment horizontal="center"/>
    </xf>
    <xf numFmtId="0" fontId="2" fillId="4" borderId="20" xfId="0" applyFont="1" applyFill="1" applyBorder="1" applyAlignment="1" applyProtection="1">
      <alignment horizontal="center"/>
    </xf>
    <xf numFmtId="0" fontId="7" fillId="4" borderId="20" xfId="0" applyFont="1" applyFill="1" applyBorder="1" applyAlignment="1" applyProtection="1">
      <alignment horizontal="center"/>
    </xf>
    <xf numFmtId="2" fontId="11" fillId="4" borderId="20" xfId="0" applyNumberFormat="1" applyFont="1" applyFill="1" applyBorder="1" applyProtection="1"/>
    <xf numFmtId="0" fontId="23" fillId="0" borderId="5" xfId="0" applyFont="1" applyBorder="1" applyProtection="1"/>
    <xf numFmtId="0" fontId="11" fillId="0" borderId="2" xfId="0" applyFont="1" applyBorder="1" applyProtection="1"/>
    <xf numFmtId="0" fontId="2" fillId="4" borderId="21" xfId="0" applyFont="1" applyFill="1" applyBorder="1" applyProtection="1"/>
    <xf numFmtId="0" fontId="11" fillId="4" borderId="21" xfId="0" applyFont="1" applyFill="1" applyBorder="1" applyAlignment="1" applyProtection="1">
      <alignment horizontal="right"/>
    </xf>
    <xf numFmtId="0" fontId="3" fillId="5" borderId="14" xfId="0" applyFont="1" applyFill="1" applyBorder="1" applyAlignment="1" applyProtection="1">
      <alignment vertical="center"/>
    </xf>
    <xf numFmtId="0" fontId="3" fillId="5" borderId="18" xfId="0" applyFont="1" applyFill="1" applyBorder="1" applyAlignment="1" applyProtection="1">
      <alignment vertical="center"/>
    </xf>
    <xf numFmtId="0" fontId="4" fillId="5" borderId="18" xfId="0" applyFont="1" applyFill="1" applyBorder="1" applyAlignment="1" applyProtection="1">
      <alignment horizontal="right" vertical="center"/>
    </xf>
    <xf numFmtId="0" fontId="3" fillId="5" borderId="18" xfId="0" applyFont="1" applyFill="1" applyBorder="1" applyAlignment="1" applyProtection="1">
      <alignment horizontal="center" vertical="center"/>
    </xf>
    <xf numFmtId="2" fontId="4" fillId="5" borderId="1" xfId="0" applyNumberFormat="1" applyFont="1" applyFill="1" applyBorder="1" applyAlignment="1" applyProtection="1">
      <alignment horizontal="right" vertical="center"/>
    </xf>
    <xf numFmtId="2" fontId="4" fillId="5" borderId="13" xfId="0" applyNumberFormat="1" applyFont="1" applyFill="1" applyBorder="1" applyAlignment="1" applyProtection="1">
      <alignment vertical="center"/>
    </xf>
    <xf numFmtId="2" fontId="4" fillId="5" borderId="1" xfId="0" applyNumberFormat="1" applyFont="1" applyFill="1" applyBorder="1" applyAlignment="1" applyProtection="1">
      <alignment vertical="center"/>
    </xf>
    <xf numFmtId="0" fontId="3" fillId="0" borderId="14" xfId="0" applyFont="1" applyBorder="1" applyProtection="1"/>
    <xf numFmtId="0" fontId="22" fillId="0" borderId="5" xfId="0" applyFont="1" applyBorder="1" applyAlignment="1" applyProtection="1">
      <alignment horizontal="left"/>
    </xf>
    <xf numFmtId="0" fontId="3" fillId="0" borderId="5" xfId="0" applyFont="1" applyBorder="1" applyProtection="1"/>
    <xf numFmtId="0" fontId="3" fillId="0" borderId="2" xfId="0" applyFont="1" applyBorder="1" applyAlignment="1" applyProtection="1">
      <alignment horizontal="center"/>
    </xf>
    <xf numFmtId="0" fontId="13" fillId="0" borderId="2" xfId="0" applyFont="1" applyBorder="1" applyAlignment="1" applyProtection="1">
      <alignment horizontal="center" wrapText="1"/>
    </xf>
    <xf numFmtId="2" fontId="7" fillId="0" borderId="13" xfId="0" applyNumberFormat="1" applyFont="1" applyBorder="1" applyAlignment="1" applyProtection="1">
      <alignment horizontal="center"/>
    </xf>
    <xf numFmtId="0" fontId="12" fillId="0" borderId="2" xfId="0" applyFont="1" applyBorder="1" applyAlignment="1" applyProtection="1">
      <alignment horizontal="center" wrapText="1"/>
    </xf>
    <xf numFmtId="0" fontId="2" fillId="0" borderId="5" xfId="0" applyFont="1" applyBorder="1" applyProtection="1"/>
    <xf numFmtId="0" fontId="2" fillId="4" borderId="23" xfId="0" applyFont="1" applyFill="1" applyBorder="1" applyProtection="1"/>
    <xf numFmtId="2" fontId="7" fillId="0" borderId="1" xfId="0" applyNumberFormat="1" applyFont="1" applyBorder="1" applyProtection="1"/>
    <xf numFmtId="0" fontId="2" fillId="0" borderId="4" xfId="0" applyFont="1" applyBorder="1" applyProtection="1"/>
    <xf numFmtId="0" fontId="2" fillId="5" borderId="14" xfId="0" applyFont="1" applyFill="1" applyBorder="1" applyProtection="1"/>
    <xf numFmtId="0" fontId="3" fillId="0" borderId="1" xfId="0" applyFont="1" applyBorder="1" applyProtection="1"/>
    <xf numFmtId="0" fontId="3" fillId="0" borderId="2" xfId="0" applyFont="1" applyBorder="1" applyAlignment="1" applyProtection="1">
      <alignment horizontal="center" wrapText="1"/>
    </xf>
    <xf numFmtId="0" fontId="2" fillId="0" borderId="1" xfId="0" applyFont="1" applyFill="1" applyBorder="1" applyProtection="1"/>
    <xf numFmtId="0" fontId="23" fillId="0" borderId="5" xfId="0" applyFont="1" applyFill="1" applyBorder="1" applyProtection="1"/>
    <xf numFmtId="0" fontId="25" fillId="0" borderId="5" xfId="0" applyFont="1" applyFill="1" applyBorder="1" applyProtection="1"/>
    <xf numFmtId="0" fontId="2" fillId="0" borderId="2" xfId="0" applyFont="1" applyFill="1" applyBorder="1" applyAlignment="1" applyProtection="1">
      <alignment horizontal="center"/>
    </xf>
    <xf numFmtId="0" fontId="11" fillId="0" borderId="2" xfId="0" applyFont="1" applyFill="1" applyBorder="1" applyProtection="1"/>
    <xf numFmtId="0" fontId="7" fillId="0" borderId="1" xfId="0" applyFont="1" applyFill="1" applyBorder="1" applyAlignment="1" applyProtection="1">
      <alignment horizontal="center"/>
    </xf>
    <xf numFmtId="2" fontId="7" fillId="0" borderId="1" xfId="0" applyNumberFormat="1" applyFont="1" applyFill="1" applyBorder="1" applyAlignment="1" applyProtection="1">
      <alignment horizontal="center"/>
    </xf>
    <xf numFmtId="2" fontId="7" fillId="0" borderId="1" xfId="0" applyNumberFormat="1" applyFont="1" applyFill="1" applyBorder="1" applyProtection="1"/>
    <xf numFmtId="0" fontId="3" fillId="6" borderId="14" xfId="0" applyFont="1" applyFill="1" applyBorder="1" applyAlignment="1" applyProtection="1">
      <alignment vertical="center"/>
    </xf>
    <xf numFmtId="0" fontId="3" fillId="6" borderId="18" xfId="0" applyFont="1" applyFill="1" applyBorder="1" applyAlignment="1" applyProtection="1">
      <alignment vertical="center"/>
    </xf>
    <xf numFmtId="0" fontId="4" fillId="6" borderId="18" xfId="0" applyFont="1" applyFill="1" applyBorder="1" applyAlignment="1" applyProtection="1">
      <alignment horizontal="right" vertical="center"/>
    </xf>
    <xf numFmtId="0" fontId="3" fillId="6" borderId="18" xfId="0" applyFont="1" applyFill="1" applyBorder="1" applyAlignment="1" applyProtection="1">
      <alignment horizontal="center" vertical="center"/>
    </xf>
    <xf numFmtId="2" fontId="4" fillId="6" borderId="1" xfId="0" applyNumberFormat="1" applyFont="1" applyFill="1" applyBorder="1" applyAlignment="1" applyProtection="1">
      <alignment horizontal="right" vertical="center"/>
    </xf>
    <xf numFmtId="2" fontId="4" fillId="6" borderId="1" xfId="0" applyNumberFormat="1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63" fillId="0" borderId="2" xfId="0" applyFont="1" applyFill="1" applyBorder="1" applyAlignment="1" applyProtection="1">
      <alignment horizontal="center"/>
    </xf>
    <xf numFmtId="0" fontId="11" fillId="0" borderId="2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/>
    </xf>
    <xf numFmtId="0" fontId="11" fillId="0" borderId="16" xfId="0" applyFont="1" applyFill="1" applyBorder="1" applyAlignment="1" applyProtection="1">
      <alignment horizontal="center"/>
    </xf>
    <xf numFmtId="0" fontId="2" fillId="0" borderId="15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 vertical="center" wrapText="1"/>
    </xf>
    <xf numFmtId="0" fontId="63" fillId="0" borderId="4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Protection="1"/>
    <xf numFmtId="0" fontId="2" fillId="0" borderId="4" xfId="0" applyFont="1" applyFill="1" applyBorder="1" applyProtection="1"/>
    <xf numFmtId="2" fontId="4" fillId="5" borderId="4" xfId="0" applyNumberFormat="1" applyFont="1" applyFill="1" applyBorder="1" applyAlignment="1" applyProtection="1">
      <alignment vertical="center"/>
    </xf>
    <xf numFmtId="0" fontId="22" fillId="3" borderId="12" xfId="0" applyFont="1" applyFill="1" applyBorder="1" applyAlignment="1" applyProtection="1">
      <alignment horizontal="left"/>
    </xf>
    <xf numFmtId="0" fontId="3" fillId="3" borderId="14" xfId="0" applyFont="1" applyFill="1" applyBorder="1" applyProtection="1"/>
    <xf numFmtId="0" fontId="9" fillId="3" borderId="12" xfId="0" applyFont="1" applyFill="1" applyBorder="1" applyProtection="1"/>
    <xf numFmtId="0" fontId="7" fillId="0" borderId="2" xfId="0" applyFont="1" applyBorder="1" applyAlignment="1" applyProtection="1">
      <alignment horizontal="center"/>
    </xf>
    <xf numFmtId="2" fontId="7" fillId="0" borderId="2" xfId="0" applyNumberFormat="1" applyFont="1" applyBorder="1" applyAlignment="1" applyProtection="1">
      <alignment horizontal="center"/>
    </xf>
    <xf numFmtId="2" fontId="7" fillId="0" borderId="2" xfId="0" applyNumberFormat="1" applyFont="1" applyBorder="1" applyProtection="1"/>
    <xf numFmtId="0" fontId="4" fillId="0" borderId="5" xfId="0" applyFont="1" applyBorder="1" applyAlignment="1" applyProtection="1">
      <alignment horizontal="right"/>
    </xf>
    <xf numFmtId="0" fontId="3" fillId="0" borderId="5" xfId="0" applyFont="1" applyBorder="1" applyAlignment="1" applyProtection="1">
      <alignment horizontal="center"/>
    </xf>
    <xf numFmtId="2" fontId="9" fillId="0" borderId="5" xfId="0" applyNumberFormat="1" applyFont="1" applyBorder="1" applyProtection="1"/>
    <xf numFmtId="0" fontId="4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/>
    </xf>
    <xf numFmtId="2" fontId="9" fillId="0" borderId="0" xfId="0" applyNumberFormat="1" applyFont="1" applyBorder="1" applyProtection="1"/>
    <xf numFmtId="0" fontId="17" fillId="2" borderId="12" xfId="0" applyFont="1" applyFill="1" applyBorder="1" applyAlignment="1" applyProtection="1">
      <alignment horizontal="left"/>
    </xf>
    <xf numFmtId="0" fontId="12" fillId="3" borderId="18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/>
    </xf>
    <xf numFmtId="0" fontId="27" fillId="0" borderId="1" xfId="0" applyFont="1" applyBorder="1" applyAlignment="1" applyProtection="1"/>
    <xf numFmtId="0" fontId="27" fillId="0" borderId="0" xfId="0" applyFont="1" applyBorder="1" applyAlignment="1" applyProtection="1"/>
    <xf numFmtId="0" fontId="27" fillId="0" borderId="1" xfId="0" applyFont="1" applyBorder="1" applyAlignment="1" applyProtection="1">
      <alignment horizontal="center"/>
    </xf>
    <xf numFmtId="49" fontId="27" fillId="0" borderId="10" xfId="0" applyNumberFormat="1" applyFont="1" applyBorder="1" applyAlignment="1" applyProtection="1"/>
    <xf numFmtId="49" fontId="27" fillId="0" borderId="0" xfId="0" applyNumberFormat="1" applyFont="1" applyBorder="1" applyAlignment="1" applyProtection="1"/>
    <xf numFmtId="1" fontId="29" fillId="0" borderId="1" xfId="0" applyNumberFormat="1" applyFont="1" applyBorder="1" applyAlignment="1" applyProtection="1">
      <alignment horizontal="center"/>
    </xf>
    <xf numFmtId="2" fontId="29" fillId="0" borderId="1" xfId="0" applyNumberFormat="1" applyFont="1" applyBorder="1" applyAlignment="1" applyProtection="1">
      <alignment horizontal="center"/>
    </xf>
    <xf numFmtId="189" fontId="29" fillId="0" borderId="1" xfId="0" applyNumberFormat="1" applyFont="1" applyBorder="1" applyAlignment="1" applyProtection="1">
      <alignment horizontal="center"/>
    </xf>
    <xf numFmtId="0" fontId="27" fillId="4" borderId="23" xfId="0" applyFont="1" applyFill="1" applyBorder="1" applyAlignment="1" applyProtection="1"/>
    <xf numFmtId="1" fontId="30" fillId="4" borderId="21" xfId="0" applyNumberFormat="1" applyFont="1" applyFill="1" applyBorder="1" applyAlignment="1" applyProtection="1">
      <alignment horizontal="right"/>
    </xf>
    <xf numFmtId="0" fontId="27" fillId="4" borderId="20" xfId="0" applyFont="1" applyFill="1" applyBorder="1" applyAlignment="1" applyProtection="1">
      <alignment horizontal="center"/>
    </xf>
    <xf numFmtId="2" fontId="30" fillId="4" borderId="20" xfId="0" applyNumberFormat="1" applyFont="1" applyFill="1" applyBorder="1" applyAlignment="1" applyProtection="1">
      <alignment horizontal="right"/>
    </xf>
    <xf numFmtId="0" fontId="26" fillId="3" borderId="18" xfId="0" applyFont="1" applyFill="1" applyBorder="1" applyAlignment="1" applyProtection="1"/>
    <xf numFmtId="0" fontId="31" fillId="3" borderId="18" xfId="0" applyFont="1" applyFill="1" applyBorder="1" applyAlignment="1" applyProtection="1"/>
    <xf numFmtId="0" fontId="26" fillId="3" borderId="18" xfId="0" applyFont="1" applyFill="1" applyBorder="1" applyAlignment="1" applyProtection="1">
      <alignment horizontal="center"/>
    </xf>
    <xf numFmtId="0" fontId="26" fillId="3" borderId="12" xfId="0" applyFont="1" applyFill="1" applyBorder="1" applyAlignment="1" applyProtection="1"/>
    <xf numFmtId="0" fontId="28" fillId="0" borderId="5" xfId="0" applyFont="1" applyFill="1" applyBorder="1" applyAlignment="1" applyProtection="1">
      <alignment vertical="top"/>
    </xf>
    <xf numFmtId="0" fontId="27" fillId="0" borderId="6" xfId="0" applyFont="1" applyBorder="1" applyAlignment="1" applyProtection="1"/>
    <xf numFmtId="0" fontId="32" fillId="0" borderId="2" xfId="0" applyFont="1" applyBorder="1" applyAlignment="1" applyProtection="1">
      <alignment horizontal="center"/>
    </xf>
    <xf numFmtId="0" fontId="28" fillId="0" borderId="0" xfId="0" applyFont="1" applyFill="1" applyBorder="1" applyAlignment="1" applyProtection="1">
      <alignment vertical="top"/>
    </xf>
    <xf numFmtId="0" fontId="27" fillId="0" borderId="7" xfId="0" applyFont="1" applyBorder="1" applyAlignment="1" applyProtection="1"/>
    <xf numFmtId="0" fontId="32" fillId="0" borderId="1" xfId="0" applyFont="1" applyBorder="1" applyAlignment="1" applyProtection="1">
      <alignment horizontal="center"/>
    </xf>
    <xf numFmtId="0" fontId="16" fillId="3" borderId="14" xfId="0" applyFont="1" applyFill="1" applyBorder="1" applyAlignment="1" applyProtection="1">
      <alignment horizontal="right"/>
    </xf>
    <xf numFmtId="0" fontId="16" fillId="3" borderId="18" xfId="0" applyFont="1" applyFill="1" applyBorder="1" applyAlignment="1" applyProtection="1">
      <alignment horizontal="left"/>
    </xf>
    <xf numFmtId="0" fontId="27" fillId="0" borderId="1" xfId="0" applyFont="1" applyBorder="1" applyProtection="1"/>
    <xf numFmtId="0" fontId="27" fillId="0" borderId="0" xfId="0" applyFont="1" applyAlignment="1" applyProtection="1"/>
    <xf numFmtId="0" fontId="27" fillId="4" borderId="24" xfId="0" applyFont="1" applyFill="1" applyBorder="1" applyAlignment="1" applyProtection="1"/>
    <xf numFmtId="0" fontId="27" fillId="4" borderId="25" xfId="0" applyFont="1" applyFill="1" applyBorder="1" applyAlignment="1" applyProtection="1">
      <alignment horizontal="center"/>
    </xf>
    <xf numFmtId="2" fontId="30" fillId="4" borderId="25" xfId="0" applyNumberFormat="1" applyFont="1" applyFill="1" applyBorder="1" applyAlignment="1" applyProtection="1">
      <alignment horizontal="right"/>
    </xf>
    <xf numFmtId="0" fontId="26" fillId="0" borderId="5" xfId="0" applyFont="1" applyBorder="1" applyProtection="1"/>
    <xf numFmtId="0" fontId="26" fillId="0" borderId="5" xfId="0" applyFont="1" applyBorder="1" applyAlignment="1" applyProtection="1"/>
    <xf numFmtId="0" fontId="26" fillId="0" borderId="5" xfId="0" applyFont="1" applyBorder="1" applyAlignment="1" applyProtection="1">
      <alignment horizontal="center"/>
    </xf>
    <xf numFmtId="0" fontId="26" fillId="0" borderId="19" xfId="0" applyFont="1" applyBorder="1" applyProtection="1"/>
    <xf numFmtId="0" fontId="26" fillId="0" borderId="19" xfId="0" applyFont="1" applyBorder="1" applyAlignment="1" applyProtection="1"/>
    <xf numFmtId="0" fontId="26" fillId="0" borderId="19" xfId="0" applyFont="1" applyBorder="1" applyAlignment="1" applyProtection="1">
      <alignment horizontal="center"/>
    </xf>
    <xf numFmtId="0" fontId="65" fillId="2" borderId="14" xfId="0" applyFont="1" applyFill="1" applyBorder="1" applyAlignment="1" applyProtection="1">
      <alignment horizontal="center"/>
    </xf>
    <xf numFmtId="0" fontId="65" fillId="2" borderId="18" xfId="0" applyFont="1" applyFill="1" applyBorder="1" applyAlignment="1" applyProtection="1">
      <alignment horizontal="left"/>
    </xf>
    <xf numFmtId="0" fontId="2" fillId="0" borderId="7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1" fontId="64" fillId="0" borderId="1" xfId="0" applyNumberFormat="1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center" vertical="center" wrapText="1"/>
    </xf>
    <xf numFmtId="189" fontId="29" fillId="0" borderId="1" xfId="0" applyNumberFormat="1" applyFont="1" applyBorder="1" applyAlignment="1" applyProtection="1">
      <alignment horizontal="left"/>
    </xf>
    <xf numFmtId="0" fontId="71" fillId="0" borderId="1" xfId="0" applyFont="1" applyBorder="1" applyAlignment="1" applyProtection="1">
      <alignment horizontal="center"/>
    </xf>
    <xf numFmtId="0" fontId="27" fillId="0" borderId="0" xfId="0" applyFont="1" applyBorder="1" applyAlignment="1" applyProtection="1">
      <alignment vertical="top"/>
    </xf>
    <xf numFmtId="0" fontId="70" fillId="0" borderId="0" xfId="0" applyFont="1" applyBorder="1" applyAlignment="1" applyProtection="1">
      <alignment vertical="top" wrapText="1"/>
    </xf>
    <xf numFmtId="1" fontId="71" fillId="0" borderId="1" xfId="0" applyNumberFormat="1" applyFont="1" applyBorder="1" applyAlignment="1" applyProtection="1">
      <alignment horizontal="center"/>
    </xf>
    <xf numFmtId="0" fontId="32" fillId="0" borderId="1" xfId="0" applyFont="1" applyFill="1" applyBorder="1" applyAlignment="1" applyProtection="1">
      <alignment horizontal="center" vertical="center"/>
    </xf>
    <xf numFmtId="2" fontId="29" fillId="0" borderId="1" xfId="0" applyNumberFormat="1" applyFont="1" applyBorder="1" applyAlignment="1" applyProtection="1">
      <alignment horizontal="center" vertical="center"/>
    </xf>
    <xf numFmtId="2" fontId="29" fillId="0" borderId="1" xfId="0" applyNumberFormat="1" applyFont="1" applyFill="1" applyBorder="1" applyAlignment="1" applyProtection="1">
      <alignment horizontal="center" vertical="center"/>
    </xf>
    <xf numFmtId="0" fontId="27" fillId="0" borderId="11" xfId="0" applyFont="1" applyBorder="1" applyAlignment="1" applyProtection="1">
      <alignment vertical="top"/>
    </xf>
    <xf numFmtId="0" fontId="70" fillId="0" borderId="17" xfId="0" applyFont="1" applyBorder="1" applyAlignment="1" applyProtection="1">
      <alignment vertical="top" wrapText="1"/>
    </xf>
    <xf numFmtId="0" fontId="71" fillId="0" borderId="3" xfId="0" applyFont="1" applyFill="1" applyBorder="1" applyAlignment="1" applyProtection="1">
      <alignment horizontal="center" vertical="center"/>
    </xf>
    <xf numFmtId="2" fontId="29" fillId="0" borderId="3" xfId="0" applyNumberFormat="1" applyFont="1" applyFill="1" applyBorder="1" applyAlignment="1" applyProtection="1">
      <alignment horizontal="center" vertical="center"/>
    </xf>
    <xf numFmtId="1" fontId="30" fillId="4" borderId="22" xfId="0" applyNumberFormat="1" applyFont="1" applyFill="1" applyBorder="1" applyAlignment="1" applyProtection="1">
      <alignment horizontal="right"/>
    </xf>
    <xf numFmtId="0" fontId="28" fillId="0" borderId="9" xfId="0" applyFont="1" applyFill="1" applyBorder="1" applyAlignment="1" applyProtection="1">
      <alignment vertical="top"/>
    </xf>
    <xf numFmtId="0" fontId="28" fillId="0" borderId="0" xfId="0" applyFont="1" applyFill="1" applyBorder="1" applyAlignment="1" applyProtection="1">
      <alignment vertical="top" wrapText="1"/>
    </xf>
    <xf numFmtId="0" fontId="28" fillId="0" borderId="7" xfId="0" applyFont="1" applyFill="1" applyBorder="1" applyAlignment="1" applyProtection="1">
      <alignment vertical="top" wrapText="1"/>
    </xf>
    <xf numFmtId="2" fontId="29" fillId="0" borderId="1" xfId="0" applyNumberFormat="1" applyFont="1" applyFill="1" applyBorder="1" applyAlignment="1" applyProtection="1">
      <alignment horizontal="center"/>
    </xf>
    <xf numFmtId="0" fontId="28" fillId="0" borderId="7" xfId="0" applyFont="1" applyFill="1" applyBorder="1" applyAlignment="1" applyProtection="1">
      <alignment vertical="top"/>
    </xf>
    <xf numFmtId="0" fontId="27" fillId="0" borderId="7" xfId="0" applyFont="1" applyFill="1" applyBorder="1" applyAlignment="1" applyProtection="1">
      <alignment vertical="top"/>
    </xf>
    <xf numFmtId="0" fontId="70" fillId="0" borderId="6" xfId="0" applyFont="1" applyBorder="1" applyAlignment="1" applyProtection="1"/>
    <xf numFmtId="0" fontId="71" fillId="0" borderId="1" xfId="0" applyFont="1" applyFill="1" applyBorder="1" applyAlignment="1" applyProtection="1">
      <alignment horizontal="center"/>
    </xf>
    <xf numFmtId="0" fontId="70" fillId="0" borderId="7" xfId="0" applyFont="1" applyBorder="1" applyAlignment="1" applyProtection="1"/>
    <xf numFmtId="0" fontId="70" fillId="0" borderId="0" xfId="0" applyFont="1" applyBorder="1" applyAlignment="1" applyProtection="1"/>
    <xf numFmtId="0" fontId="27" fillId="0" borderId="17" xfId="0" applyFont="1" applyBorder="1" applyAlignment="1" applyProtection="1">
      <alignment vertical="top"/>
    </xf>
    <xf numFmtId="1" fontId="71" fillId="0" borderId="3" xfId="0" applyNumberFormat="1" applyFont="1" applyBorder="1" applyAlignment="1" applyProtection="1">
      <alignment horizontal="center"/>
    </xf>
    <xf numFmtId="1" fontId="71" fillId="0" borderId="2" xfId="0" applyNumberFormat="1" applyFont="1" applyBorder="1" applyAlignment="1" applyProtection="1">
      <alignment horizontal="center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5" xfId="0" applyFont="1" applyBorder="1" applyProtection="1"/>
    <xf numFmtId="0" fontId="5" fillId="0" borderId="6" xfId="0" applyFont="1" applyBorder="1" applyProtection="1"/>
    <xf numFmtId="0" fontId="5" fillId="0" borderId="2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1" fontId="34" fillId="0" borderId="1" xfId="0" applyNumberFormat="1" applyFont="1" applyBorder="1" applyAlignment="1" applyProtection="1">
      <alignment horizontal="center"/>
    </xf>
    <xf numFmtId="2" fontId="34" fillId="0" borderId="1" xfId="0" applyNumberFormat="1" applyFont="1" applyBorder="1" applyAlignment="1" applyProtection="1">
      <alignment horizontal="center"/>
    </xf>
    <xf numFmtId="0" fontId="27" fillId="0" borderId="4" xfId="0" applyFont="1" applyBorder="1" applyAlignment="1" applyProtection="1"/>
    <xf numFmtId="0" fontId="66" fillId="2" borderId="18" xfId="0" applyFont="1" applyFill="1" applyBorder="1" applyAlignment="1" applyProtection="1">
      <alignment horizontal="left"/>
    </xf>
    <xf numFmtId="0" fontId="73" fillId="3" borderId="18" xfId="0" applyFont="1" applyFill="1" applyBorder="1" applyAlignment="1" applyProtection="1"/>
    <xf numFmtId="0" fontId="5" fillId="0" borderId="16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7" fillId="0" borderId="26" xfId="0" applyFont="1" applyBorder="1" applyAlignment="1" applyProtection="1">
      <alignment horizontal="center" vertical="top"/>
    </xf>
    <xf numFmtId="0" fontId="70" fillId="0" borderId="27" xfId="0" applyFont="1" applyFill="1" applyBorder="1" applyAlignment="1" applyProtection="1">
      <alignment horizontal="center" vertical="top" wrapText="1"/>
    </xf>
    <xf numFmtId="0" fontId="32" fillId="0" borderId="26" xfId="0" applyFont="1" applyBorder="1" applyAlignment="1" applyProtection="1">
      <alignment horizontal="center" vertical="center"/>
    </xf>
    <xf numFmtId="2" fontId="32" fillId="0" borderId="26" xfId="0" applyNumberFormat="1" applyFont="1" applyBorder="1" applyAlignment="1" applyProtection="1">
      <alignment horizontal="center" vertical="center"/>
    </xf>
    <xf numFmtId="0" fontId="27" fillId="0" borderId="20" xfId="0" applyFont="1" applyBorder="1" applyAlignment="1" applyProtection="1"/>
    <xf numFmtId="0" fontId="27" fillId="4" borderId="17" xfId="0" applyFont="1" applyFill="1" applyBorder="1" applyAlignment="1" applyProtection="1"/>
    <xf numFmtId="1" fontId="30" fillId="4" borderId="19" xfId="0" applyNumberFormat="1" applyFont="1" applyFill="1" applyBorder="1" applyAlignment="1" applyProtection="1">
      <alignment horizontal="right"/>
    </xf>
    <xf numFmtId="1" fontId="30" fillId="4" borderId="8" xfId="0" applyNumberFormat="1" applyFont="1" applyFill="1" applyBorder="1" applyAlignment="1" applyProtection="1">
      <alignment horizontal="right"/>
    </xf>
    <xf numFmtId="0" fontId="27" fillId="4" borderId="3" xfId="0" applyFont="1" applyFill="1" applyBorder="1" applyAlignment="1" applyProtection="1">
      <alignment horizontal="center"/>
    </xf>
    <xf numFmtId="2" fontId="30" fillId="4" borderId="3" xfId="0" applyNumberFormat="1" applyFont="1" applyFill="1" applyBorder="1" applyAlignment="1" applyProtection="1">
      <alignment horizontal="right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/>
    </xf>
    <xf numFmtId="0" fontId="29" fillId="0" borderId="1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 vertical="center" wrapText="1"/>
    </xf>
    <xf numFmtId="0" fontId="33" fillId="0" borderId="2" xfId="0" applyFont="1" applyBorder="1" applyAlignment="1" applyProtection="1">
      <alignment horizontal="center"/>
    </xf>
    <xf numFmtId="0" fontId="5" fillId="0" borderId="19" xfId="0" applyFont="1" applyBorder="1" applyAlignment="1" applyProtection="1">
      <alignment vertical="center" wrapText="1"/>
    </xf>
    <xf numFmtId="0" fontId="33" fillId="0" borderId="4" xfId="0" applyFont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vertical="top"/>
    </xf>
    <xf numFmtId="49" fontId="36" fillId="0" borderId="0" xfId="0" applyNumberFormat="1" applyFont="1" applyBorder="1" applyProtection="1"/>
    <xf numFmtId="0" fontId="2" fillId="0" borderId="0" xfId="0" applyFont="1" applyAlignment="1" applyProtection="1"/>
    <xf numFmtId="0" fontId="5" fillId="0" borderId="1" xfId="0" applyFont="1" applyBorder="1" applyAlignment="1" applyProtection="1">
      <alignment horizontal="center"/>
    </xf>
    <xf numFmtId="0" fontId="33" fillId="4" borderId="21" xfId="0" applyFont="1" applyFill="1" applyBorder="1" applyAlignment="1" applyProtection="1">
      <alignment horizontal="right"/>
    </xf>
    <xf numFmtId="0" fontId="33" fillId="4" borderId="20" xfId="0" applyFont="1" applyFill="1" applyBorder="1" applyAlignment="1" applyProtection="1">
      <alignment horizontal="right"/>
    </xf>
    <xf numFmtId="0" fontId="2" fillId="4" borderId="20" xfId="0" applyFont="1" applyFill="1" applyBorder="1" applyAlignment="1" applyProtection="1"/>
    <xf numFmtId="2" fontId="33" fillId="4" borderId="20" xfId="0" applyNumberFormat="1" applyFont="1" applyFill="1" applyBorder="1" applyAlignment="1" applyProtection="1">
      <alignment horizontal="right"/>
    </xf>
    <xf numFmtId="0" fontId="11" fillId="0" borderId="1" xfId="0" applyFont="1" applyBorder="1" applyAlignment="1" applyProtection="1">
      <alignment horizontal="center"/>
    </xf>
    <xf numFmtId="0" fontId="2" fillId="0" borderId="4" xfId="0" applyFont="1" applyBorder="1" applyAlignment="1" applyProtection="1"/>
    <xf numFmtId="2" fontId="4" fillId="5" borderId="14" xfId="0" applyNumberFormat="1" applyFont="1" applyFill="1" applyBorder="1" applyAlignment="1" applyProtection="1">
      <alignment horizontal="right" vertical="center"/>
    </xf>
    <xf numFmtId="0" fontId="4" fillId="5" borderId="12" xfId="0" applyFont="1" applyFill="1" applyBorder="1" applyAlignment="1" applyProtection="1">
      <alignment horizontal="right" vertical="center"/>
    </xf>
    <xf numFmtId="0" fontId="2" fillId="0" borderId="2" xfId="0" applyFont="1" applyFill="1" applyBorder="1" applyAlignment="1" applyProtection="1">
      <alignment horizontal="center"/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54" fillId="0" borderId="0" xfId="0" applyFont="1" applyFill="1" applyAlignment="1" applyProtection="1">
      <alignment horizontal="center"/>
    </xf>
    <xf numFmtId="0" fontId="11" fillId="0" borderId="0" xfId="0" applyFont="1" applyFill="1" applyAlignment="1" applyProtection="1">
      <alignment horizontal="center"/>
    </xf>
    <xf numFmtId="0" fontId="5" fillId="0" borderId="1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11" fillId="0" borderId="7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center"/>
    </xf>
    <xf numFmtId="0" fontId="7" fillId="0" borderId="0" xfId="0" applyFont="1" applyProtection="1"/>
    <xf numFmtId="0" fontId="5" fillId="0" borderId="0" xfId="0" applyFont="1" applyFill="1" applyAlignment="1" applyProtection="1">
      <alignment horizontal="center" wrapText="1"/>
    </xf>
    <xf numFmtId="0" fontId="79" fillId="7" borderId="28" xfId="0" applyFont="1" applyFill="1" applyBorder="1" applyAlignment="1" applyProtection="1">
      <alignment horizontal="center" vertical="center" wrapText="1"/>
    </xf>
    <xf numFmtId="0" fontId="79" fillId="7" borderId="29" xfId="0" applyFont="1" applyFill="1" applyBorder="1" applyAlignment="1" applyProtection="1">
      <alignment horizontal="center" vertical="center" wrapText="1"/>
    </xf>
    <xf numFmtId="0" fontId="79" fillId="7" borderId="30" xfId="0" applyFont="1" applyFill="1" applyBorder="1" applyAlignment="1" applyProtection="1">
      <alignment horizontal="center" vertical="center" wrapText="1"/>
    </xf>
    <xf numFmtId="0" fontId="79" fillId="7" borderId="31" xfId="0" applyFont="1" applyFill="1" applyBorder="1" applyAlignment="1" applyProtection="1">
      <alignment horizontal="center" vertical="center" wrapText="1"/>
    </xf>
    <xf numFmtId="0" fontId="81" fillId="0" borderId="32" xfId="0" applyFont="1" applyFill="1" applyBorder="1" applyAlignment="1" applyProtection="1">
      <alignment horizontal="left" vertical="center" wrapText="1"/>
    </xf>
    <xf numFmtId="0" fontId="79" fillId="8" borderId="15" xfId="0" applyFont="1" applyFill="1" applyBorder="1" applyAlignment="1" applyProtection="1">
      <alignment horizontal="center" vertical="center" wrapText="1"/>
    </xf>
    <xf numFmtId="0" fontId="79" fillId="8" borderId="4" xfId="0" applyFont="1" applyFill="1" applyBorder="1" applyAlignment="1" applyProtection="1">
      <alignment horizontal="center" vertical="center" wrapText="1"/>
    </xf>
    <xf numFmtId="0" fontId="79" fillId="8" borderId="33" xfId="0" applyFont="1" applyFill="1" applyBorder="1" applyAlignment="1" applyProtection="1">
      <alignment horizontal="center" vertical="center" wrapText="1"/>
    </xf>
    <xf numFmtId="2" fontId="79" fillId="0" borderId="15" xfId="0" applyNumberFormat="1" applyFont="1" applyFill="1" applyBorder="1" applyAlignment="1" applyProtection="1">
      <alignment horizontal="center" vertical="center" wrapText="1"/>
    </xf>
    <xf numFmtId="2" fontId="79" fillId="0" borderId="33" xfId="0" applyNumberFormat="1" applyFont="1" applyFill="1" applyBorder="1" applyAlignment="1" applyProtection="1">
      <alignment horizontal="center" vertical="center" wrapText="1"/>
    </xf>
    <xf numFmtId="0" fontId="79" fillId="8" borderId="32" xfId="0" applyFont="1" applyFill="1" applyBorder="1" applyAlignment="1" applyProtection="1">
      <alignment horizontal="center" vertical="center" wrapText="1"/>
    </xf>
    <xf numFmtId="0" fontId="81" fillId="0" borderId="34" xfId="0" applyFont="1" applyFill="1" applyBorder="1" applyAlignment="1" applyProtection="1">
      <alignment horizontal="left" vertical="center" wrapText="1"/>
    </xf>
    <xf numFmtId="0" fontId="79" fillId="0" borderId="6" xfId="0" applyFont="1" applyFill="1" applyBorder="1" applyAlignment="1" applyProtection="1">
      <alignment horizontal="center" vertical="center" wrapText="1"/>
    </xf>
    <xf numFmtId="0" fontId="79" fillId="0" borderId="35" xfId="0" applyFont="1" applyFill="1" applyBorder="1" applyAlignment="1" applyProtection="1">
      <alignment horizontal="center" vertical="center" wrapText="1"/>
    </xf>
    <xf numFmtId="0" fontId="79" fillId="0" borderId="34" xfId="0" applyFont="1" applyFill="1" applyBorder="1" applyAlignment="1" applyProtection="1">
      <alignment horizontal="center" vertical="center" wrapText="1"/>
    </xf>
    <xf numFmtId="0" fontId="74" fillId="0" borderId="36" xfId="0" applyFont="1" applyFill="1" applyBorder="1" applyAlignment="1" applyProtection="1">
      <alignment vertical="center"/>
    </xf>
    <xf numFmtId="2" fontId="74" fillId="0" borderId="7" xfId="0" applyNumberFormat="1" applyFont="1" applyFill="1" applyBorder="1" applyAlignment="1" applyProtection="1">
      <alignment horizontal="center" vertical="center"/>
    </xf>
    <xf numFmtId="2" fontId="74" fillId="0" borderId="1" xfId="0" applyNumberFormat="1" applyFont="1" applyFill="1" applyBorder="1" applyAlignment="1" applyProtection="1">
      <alignment horizontal="center" vertical="center"/>
    </xf>
    <xf numFmtId="2" fontId="74" fillId="0" borderId="37" xfId="0" applyNumberFormat="1" applyFont="1" applyFill="1" applyBorder="1" applyAlignment="1" applyProtection="1">
      <alignment horizontal="center" vertical="center"/>
    </xf>
    <xf numFmtId="0" fontId="74" fillId="0" borderId="36" xfId="0" applyFont="1" applyFill="1" applyBorder="1" applyAlignment="1" applyProtection="1">
      <alignment horizontal="center" vertical="center"/>
    </xf>
    <xf numFmtId="0" fontId="74" fillId="0" borderId="32" xfId="0" applyFont="1" applyFill="1" applyBorder="1" applyAlignment="1" applyProtection="1">
      <alignment vertical="center"/>
    </xf>
    <xf numFmtId="2" fontId="74" fillId="0" borderId="15" xfId="0" applyNumberFormat="1" applyFont="1" applyFill="1" applyBorder="1" applyAlignment="1" applyProtection="1">
      <alignment horizontal="center" vertical="center"/>
    </xf>
    <xf numFmtId="2" fontId="74" fillId="0" borderId="4" xfId="0" applyNumberFormat="1" applyFont="1" applyFill="1" applyBorder="1" applyAlignment="1" applyProtection="1">
      <alignment horizontal="center" vertical="center"/>
    </xf>
    <xf numFmtId="2" fontId="74" fillId="0" borderId="33" xfId="0" applyNumberFormat="1" applyFont="1" applyFill="1" applyBorder="1" applyAlignment="1" applyProtection="1">
      <alignment horizontal="center" vertical="center"/>
    </xf>
    <xf numFmtId="0" fontId="74" fillId="0" borderId="32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right"/>
    </xf>
    <xf numFmtId="2" fontId="11" fillId="0" borderId="0" xfId="0" applyNumberFormat="1" applyFont="1" applyFill="1" applyBorder="1" applyAlignment="1" applyProtection="1">
      <alignment horizontal="center"/>
    </xf>
    <xf numFmtId="2" fontId="11" fillId="0" borderId="0" xfId="0" applyNumberFormat="1" applyFont="1" applyFill="1" applyBorder="1" applyProtection="1"/>
    <xf numFmtId="0" fontId="7" fillId="0" borderId="0" xfId="0" applyFont="1" applyAlignment="1" applyProtection="1">
      <alignment vertical="center"/>
    </xf>
    <xf numFmtId="0" fontId="11" fillId="0" borderId="0" xfId="0" applyFont="1" applyFill="1" applyProtection="1"/>
    <xf numFmtId="0" fontId="11" fillId="0" borderId="0" xfId="0" applyFont="1" applyFill="1" applyAlignment="1" applyProtection="1">
      <alignment horizontal="left"/>
    </xf>
    <xf numFmtId="0" fontId="34" fillId="0" borderId="0" xfId="0" applyFont="1" applyFill="1" applyProtection="1"/>
    <xf numFmtId="0" fontId="49" fillId="0" borderId="0" xfId="0" applyFont="1" applyFill="1" applyBorder="1" applyAlignment="1" applyProtection="1">
      <alignment horizontal="right"/>
    </xf>
    <xf numFmtId="2" fontId="49" fillId="0" borderId="0" xfId="0" applyNumberFormat="1" applyFont="1" applyFill="1" applyProtection="1"/>
    <xf numFmtId="0" fontId="7" fillId="0" borderId="0" xfId="0" applyFont="1" applyFill="1" applyProtection="1"/>
    <xf numFmtId="2" fontId="11" fillId="9" borderId="18" xfId="0" applyNumberFormat="1" applyFont="1" applyFill="1" applyBorder="1" applyAlignment="1" applyProtection="1">
      <alignment horizontal="center" vertical="center" wrapText="1"/>
    </xf>
    <xf numFmtId="0" fontId="11" fillId="9" borderId="12" xfId="0" applyFont="1" applyFill="1" applyBorder="1" applyAlignment="1" applyProtection="1">
      <alignment horizontal="center" vertical="center" wrapText="1"/>
    </xf>
    <xf numFmtId="2" fontId="11" fillId="10" borderId="18" xfId="0" applyNumberFormat="1" applyFont="1" applyFill="1" applyBorder="1" applyAlignment="1" applyProtection="1">
      <alignment horizontal="center" vertical="center" wrapText="1"/>
    </xf>
    <xf numFmtId="2" fontId="11" fillId="10" borderId="6" xfId="0" applyNumberFormat="1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vertical="center"/>
    </xf>
    <xf numFmtId="2" fontId="2" fillId="0" borderId="5" xfId="0" applyNumberFormat="1" applyFont="1" applyFill="1" applyBorder="1" applyAlignment="1" applyProtection="1">
      <alignment horizontal="center" vertical="center"/>
    </xf>
    <xf numFmtId="2" fontId="7" fillId="0" borderId="5" xfId="0" applyNumberFormat="1" applyFont="1" applyFill="1" applyBorder="1" applyAlignment="1" applyProtection="1">
      <alignment horizontal="center" vertical="center"/>
    </xf>
    <xf numFmtId="2" fontId="7" fillId="0" borderId="6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7" fillId="0" borderId="9" xfId="0" applyFont="1" applyFill="1" applyBorder="1" applyAlignment="1" applyProtection="1">
      <alignment horizontal="left" vertical="center"/>
    </xf>
    <xf numFmtId="0" fontId="7" fillId="0" borderId="5" xfId="0" applyFont="1" applyFill="1" applyBorder="1" applyAlignment="1" applyProtection="1">
      <alignment horizontal="left" vertical="center"/>
    </xf>
    <xf numFmtId="0" fontId="2" fillId="0" borderId="10" xfId="1" applyFont="1" applyFill="1" applyBorder="1" applyAlignment="1" applyProtection="1">
      <alignment vertical="center"/>
    </xf>
    <xf numFmtId="2" fontId="2" fillId="0" borderId="0" xfId="0" applyNumberFormat="1" applyFont="1" applyFill="1" applyBorder="1" applyAlignment="1" applyProtection="1">
      <alignment horizontal="center" vertical="center"/>
    </xf>
    <xf numFmtId="2" fontId="7" fillId="0" borderId="0" xfId="0" applyNumberFormat="1" applyFont="1" applyFill="1" applyBorder="1" applyAlignment="1" applyProtection="1">
      <alignment horizontal="center" vertical="center"/>
    </xf>
    <xf numFmtId="2" fontId="7" fillId="0" borderId="7" xfId="0" applyNumberFormat="1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1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11" fillId="6" borderId="16" xfId="0" applyFont="1" applyFill="1" applyBorder="1" applyAlignment="1" applyProtection="1">
      <alignment horizontal="right" vertical="center"/>
    </xf>
    <xf numFmtId="0" fontId="2" fillId="6" borderId="19" xfId="0" applyFont="1" applyFill="1" applyBorder="1" applyAlignment="1" applyProtection="1">
      <alignment horizontal="center" vertical="center"/>
    </xf>
    <xf numFmtId="2" fontId="11" fillId="6" borderId="19" xfId="0" applyNumberFormat="1" applyFont="1" applyFill="1" applyBorder="1" applyAlignment="1" applyProtection="1">
      <alignment horizontal="center" vertical="center"/>
    </xf>
    <xf numFmtId="2" fontId="11" fillId="6" borderId="15" xfId="0" applyNumberFormat="1" applyFont="1" applyFill="1" applyBorder="1" applyAlignment="1" applyProtection="1">
      <alignment horizontal="center" vertical="center"/>
    </xf>
    <xf numFmtId="0" fontId="34" fillId="0" borderId="0" xfId="0" applyFont="1" applyFill="1" applyAlignment="1" applyProtection="1">
      <alignment vertical="center"/>
    </xf>
    <xf numFmtId="2" fontId="11" fillId="6" borderId="18" xfId="0" applyNumberFormat="1" applyFont="1" applyFill="1" applyBorder="1" applyAlignment="1" applyProtection="1">
      <alignment horizontal="center" vertical="center"/>
    </xf>
    <xf numFmtId="2" fontId="11" fillId="6" borderId="12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34" fillId="0" borderId="0" xfId="0" applyFont="1" applyFill="1" applyAlignment="1" applyProtection="1">
      <alignment horizontal="center"/>
    </xf>
    <xf numFmtId="0" fontId="2" fillId="0" borderId="0" xfId="0" applyFont="1" applyFill="1" applyProtection="1"/>
    <xf numFmtId="0" fontId="2" fillId="0" borderId="0" xfId="0" applyFont="1" applyFill="1" applyAlignment="1" applyProtection="1">
      <alignment horizontal="center"/>
    </xf>
    <xf numFmtId="0" fontId="7" fillId="0" borderId="0" xfId="0" applyFont="1" applyFill="1" applyAlignment="1" applyProtection="1">
      <alignment horizontal="center"/>
    </xf>
    <xf numFmtId="0" fontId="11" fillId="11" borderId="14" xfId="0" applyFont="1" applyFill="1" applyBorder="1" applyAlignment="1" applyProtection="1">
      <alignment horizontal="center" vertical="center" wrapText="1"/>
    </xf>
    <xf numFmtId="0" fontId="5" fillId="11" borderId="18" xfId="0" applyFont="1" applyFill="1" applyBorder="1" applyAlignment="1" applyProtection="1">
      <alignment horizontal="center" vertical="center" wrapText="1"/>
    </xf>
    <xf numFmtId="0" fontId="11" fillId="11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50" fillId="0" borderId="9" xfId="0" applyFont="1" applyFill="1" applyBorder="1" applyAlignment="1" applyProtection="1">
      <alignment horizontal="left" vertical="center"/>
    </xf>
    <xf numFmtId="0" fontId="2" fillId="0" borderId="5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4" fillId="0" borderId="10" xfId="0" applyFont="1" applyFill="1" applyBorder="1" applyAlignment="1" applyProtection="1">
      <alignment horizontal="left" vertical="center"/>
    </xf>
    <xf numFmtId="0" fontId="74" fillId="0" borderId="0" xfId="0" applyFont="1" applyFill="1" applyBorder="1" applyAlignment="1" applyProtection="1">
      <alignment horizontal="left" vertical="center"/>
    </xf>
    <xf numFmtId="2" fontId="34" fillId="0" borderId="0" xfId="0" applyNumberFormat="1" applyFont="1" applyFill="1" applyBorder="1" applyAlignment="1" applyProtection="1">
      <alignment horizontal="center" vertical="center" wrapText="1"/>
    </xf>
    <xf numFmtId="2" fontId="34" fillId="0" borderId="7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51" fillId="0" borderId="10" xfId="0" applyFont="1" applyFill="1" applyBorder="1" applyAlignment="1" applyProtection="1">
      <alignment horizontal="left" vertical="center"/>
    </xf>
    <xf numFmtId="0" fontId="50" fillId="0" borderId="1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right" vertical="center"/>
    </xf>
    <xf numFmtId="0" fontId="7" fillId="0" borderId="7" xfId="0" applyFont="1" applyFill="1" applyBorder="1" applyAlignment="1" applyProtection="1">
      <alignment vertical="center"/>
    </xf>
    <xf numFmtId="4" fontId="2" fillId="0" borderId="19" xfId="0" applyNumberFormat="1" applyFont="1" applyFill="1" applyBorder="1" applyAlignment="1" applyProtection="1">
      <alignment horizontal="center" vertical="center" wrapText="1"/>
    </xf>
    <xf numFmtId="0" fontId="34" fillId="0" borderId="0" xfId="0" applyFont="1" applyFill="1" applyBorder="1" applyAlignment="1" applyProtection="1">
      <alignment horizontal="center" vertical="center"/>
    </xf>
    <xf numFmtId="0" fontId="34" fillId="0" borderId="0" xfId="0" applyFont="1" applyFill="1" applyBorder="1" applyAlignment="1" applyProtection="1">
      <alignment horizontal="center"/>
    </xf>
    <xf numFmtId="0" fontId="15" fillId="0" borderId="0" xfId="0" applyFont="1" applyProtection="1"/>
    <xf numFmtId="0" fontId="11" fillId="12" borderId="5" xfId="0" applyFont="1" applyFill="1" applyBorder="1" applyAlignment="1" applyProtection="1">
      <alignment horizontal="center" vertical="center" wrapText="1"/>
    </xf>
    <xf numFmtId="0" fontId="11" fillId="12" borderId="12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/>
    </xf>
    <xf numFmtId="0" fontId="11" fillId="3" borderId="18" xfId="0" applyFont="1" applyFill="1" applyBorder="1" applyAlignment="1" applyProtection="1">
      <alignment horizontal="center" vertical="center" wrapText="1"/>
    </xf>
    <xf numFmtId="0" fontId="11" fillId="3" borderId="12" xfId="0" applyFont="1" applyFill="1" applyBorder="1" applyAlignment="1" applyProtection="1">
      <alignment horizontal="center" vertical="center" wrapText="1"/>
    </xf>
    <xf numFmtId="2" fontId="7" fillId="0" borderId="0" xfId="0" quotePrefix="1" applyNumberFormat="1" applyFont="1" applyFill="1" applyBorder="1" applyAlignment="1" applyProtection="1">
      <alignment horizontal="center" vertical="center"/>
    </xf>
    <xf numFmtId="2" fontId="7" fillId="0" borderId="7" xfId="0" quotePrefix="1" applyNumberFormat="1" applyFont="1" applyFill="1" applyBorder="1" applyAlignment="1" applyProtection="1">
      <alignment horizontal="center" vertical="center"/>
    </xf>
    <xf numFmtId="0" fontId="75" fillId="0" borderId="10" xfId="0" applyFont="1" applyFill="1" applyBorder="1" applyAlignment="1" applyProtection="1">
      <alignment horizontal="left" vertical="center"/>
    </xf>
    <xf numFmtId="0" fontId="34" fillId="0" borderId="0" xfId="0" applyFont="1" applyFill="1" applyBorder="1" applyAlignment="1" applyProtection="1">
      <alignment horizontal="center" vertical="center" wrapText="1"/>
    </xf>
    <xf numFmtId="2" fontId="11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left"/>
    </xf>
    <xf numFmtId="0" fontId="52" fillId="0" borderId="0" xfId="0" applyFont="1" applyFill="1" applyAlignment="1" applyProtection="1">
      <alignment horizontal="left"/>
    </xf>
    <xf numFmtId="2" fontId="10" fillId="0" borderId="0" xfId="0" applyNumberFormat="1" applyFont="1" applyFill="1" applyBorder="1" applyAlignment="1" applyProtection="1">
      <alignment horizontal="center" vertical="center"/>
    </xf>
    <xf numFmtId="0" fontId="53" fillId="0" borderId="0" xfId="0" applyFont="1" applyFill="1" applyAlignment="1" applyProtection="1">
      <alignment horizontal="left"/>
    </xf>
    <xf numFmtId="0" fontId="15" fillId="0" borderId="0" xfId="0" applyFont="1" applyFill="1" applyProtection="1"/>
    <xf numFmtId="0" fontId="15" fillId="0" borderId="0" xfId="0" applyFont="1" applyFill="1" applyAlignment="1" applyProtection="1">
      <alignment horizontal="center"/>
    </xf>
    <xf numFmtId="0" fontId="40" fillId="0" borderId="0" xfId="0" applyFont="1" applyFill="1" applyAlignment="1" applyProtection="1">
      <alignment horizontal="right"/>
    </xf>
    <xf numFmtId="0" fontId="41" fillId="0" borderId="0" xfId="0" applyFont="1" applyFill="1" applyAlignment="1" applyProtection="1">
      <alignment horizontal="left"/>
    </xf>
    <xf numFmtId="0" fontId="14" fillId="0" borderId="0" xfId="0" applyFont="1" applyFill="1" applyAlignment="1" applyProtection="1">
      <alignment horizontal="center"/>
    </xf>
    <xf numFmtId="0" fontId="2" fillId="0" borderId="1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11" fillId="0" borderId="7" xfId="0" applyFont="1" applyFill="1" applyBorder="1" applyAlignment="1" applyProtection="1">
      <alignment horizontal="center"/>
      <protection locked="0"/>
    </xf>
    <xf numFmtId="0" fontId="2" fillId="0" borderId="10" xfId="0" applyFont="1" applyFill="1" applyBorder="1" applyAlignment="1" applyProtection="1">
      <alignment horizontal="left" vertical="center"/>
      <protection locked="0"/>
    </xf>
    <xf numFmtId="0" fontId="2" fillId="0" borderId="0" xfId="0" applyFont="1" applyProtection="1"/>
    <xf numFmtId="0" fontId="2" fillId="0" borderId="0" xfId="0" applyFont="1" applyBorder="1" applyProtection="1"/>
    <xf numFmtId="2" fontId="2" fillId="0" borderId="0" xfId="0" applyNumberFormat="1" applyFont="1" applyProtection="1"/>
    <xf numFmtId="2" fontId="3" fillId="0" borderId="0" xfId="0" applyNumberFormat="1" applyFont="1" applyProtection="1"/>
    <xf numFmtId="2" fontId="3" fillId="0" borderId="0" xfId="0" applyNumberFormat="1" applyFont="1" applyAlignment="1" applyProtection="1">
      <alignment horizontal="center"/>
    </xf>
    <xf numFmtId="2" fontId="2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Fill="1" applyBorder="1" applyProtection="1"/>
    <xf numFmtId="0" fontId="3" fillId="0" borderId="0" xfId="0" applyFont="1" applyFill="1" applyProtection="1"/>
    <xf numFmtId="0" fontId="3" fillId="0" borderId="0" xfId="0" applyFont="1" applyFill="1" applyAlignment="1" applyProtection="1">
      <alignment horizontal="center"/>
    </xf>
    <xf numFmtId="0" fontId="2" fillId="0" borderId="9" xfId="0" applyFont="1" applyBorder="1" applyProtection="1"/>
    <xf numFmtId="0" fontId="2" fillId="0" borderId="10" xfId="0" applyFont="1" applyBorder="1" applyProtection="1"/>
    <xf numFmtId="0" fontId="26" fillId="0" borderId="0" xfId="0" applyFont="1" applyAlignment="1" applyProtection="1"/>
    <xf numFmtId="0" fontId="4" fillId="0" borderId="0" xfId="0" applyFont="1" applyAlignment="1" applyProtection="1">
      <alignment horizontal="center"/>
    </xf>
    <xf numFmtId="0" fontId="27" fillId="0" borderId="0" xfId="0" applyFont="1" applyProtection="1"/>
    <xf numFmtId="0" fontId="26" fillId="0" borderId="0" xfId="0" applyFont="1" applyProtection="1"/>
    <xf numFmtId="0" fontId="2" fillId="0" borderId="0" xfId="0" applyFont="1" applyAlignment="1" applyProtection="1">
      <alignment vertical="center" wrapText="1"/>
    </xf>
    <xf numFmtId="0" fontId="27" fillId="0" borderId="0" xfId="0" applyFont="1" applyBorder="1" applyProtection="1"/>
    <xf numFmtId="2" fontId="4" fillId="5" borderId="13" xfId="0" applyNumberFormat="1" applyFont="1" applyFill="1" applyBorder="1" applyAlignment="1" applyProtection="1">
      <alignment horizontal="right" vertical="center"/>
    </xf>
    <xf numFmtId="2" fontId="4" fillId="5" borderId="4" xfId="0" applyNumberFormat="1" applyFont="1" applyFill="1" applyBorder="1" applyAlignment="1" applyProtection="1">
      <alignment horizontal="right" vertical="center"/>
    </xf>
    <xf numFmtId="0" fontId="12" fillId="2" borderId="18" xfId="0" applyFont="1" applyFill="1" applyBorder="1" applyAlignment="1" applyProtection="1">
      <alignment horizontal="center" wrapText="1"/>
    </xf>
    <xf numFmtId="0" fontId="5" fillId="0" borderId="10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/>
    <xf numFmtId="0" fontId="2" fillId="0" borderId="5" xfId="0" applyFont="1" applyBorder="1" applyAlignment="1" applyProtection="1"/>
    <xf numFmtId="0" fontId="34" fillId="0" borderId="1" xfId="0" applyFont="1" applyBorder="1" applyAlignment="1" applyProtection="1">
      <alignment horizontal="center"/>
    </xf>
    <xf numFmtId="2" fontId="33" fillId="4" borderId="20" xfId="0" applyNumberFormat="1" applyFont="1" applyFill="1" applyBorder="1" applyAlignment="1" applyProtection="1"/>
    <xf numFmtId="0" fontId="23" fillId="0" borderId="9" xfId="0" applyFont="1" applyBorder="1" applyProtection="1"/>
    <xf numFmtId="0" fontId="2" fillId="0" borderId="6" xfId="0" applyFont="1" applyBorder="1" applyAlignment="1" applyProtection="1"/>
    <xf numFmtId="0" fontId="5" fillId="0" borderId="2" xfId="1" applyFont="1" applyFill="1" applyBorder="1" applyAlignment="1" applyProtection="1">
      <alignment horizontal="center"/>
    </xf>
    <xf numFmtId="0" fontId="2" fillId="0" borderId="7" xfId="0" applyFont="1" applyBorder="1" applyProtection="1"/>
    <xf numFmtId="0" fontId="34" fillId="4" borderId="20" xfId="0" applyFont="1" applyFill="1" applyBorder="1" applyAlignment="1" applyProtection="1">
      <alignment horizontal="center"/>
    </xf>
    <xf numFmtId="0" fontId="69" fillId="0" borderId="1" xfId="0" applyFont="1" applyBorder="1" applyAlignment="1" applyProtection="1">
      <alignment horizontal="left" vertical="center" wrapText="1"/>
    </xf>
    <xf numFmtId="0" fontId="69" fillId="0" borderId="4" xfId="0" applyFont="1" applyBorder="1" applyAlignment="1" applyProtection="1">
      <alignment horizontal="center" vertical="center" wrapText="1"/>
    </xf>
    <xf numFmtId="0" fontId="2" fillId="0" borderId="6" xfId="0" applyFont="1" applyBorder="1" applyProtection="1"/>
    <xf numFmtId="0" fontId="2" fillId="0" borderId="11" xfId="0" applyFont="1" applyBorder="1" applyProtection="1"/>
    <xf numFmtId="0" fontId="69" fillId="0" borderId="1" xfId="0" applyFont="1" applyBorder="1" applyAlignment="1" applyProtection="1">
      <alignment horizontal="center" vertical="center" wrapText="1"/>
    </xf>
    <xf numFmtId="0" fontId="2" fillId="4" borderId="23" xfId="0" applyFont="1" applyFill="1" applyBorder="1" applyAlignment="1" applyProtection="1"/>
    <xf numFmtId="0" fontId="33" fillId="0" borderId="0" xfId="0" applyFont="1" applyFill="1" applyBorder="1" applyAlignment="1" applyProtection="1">
      <alignment horizontal="right"/>
    </xf>
    <xf numFmtId="2" fontId="33" fillId="0" borderId="0" xfId="0" applyNumberFormat="1" applyFont="1" applyFill="1" applyBorder="1" applyProtection="1"/>
    <xf numFmtId="0" fontId="2" fillId="0" borderId="0" xfId="0" applyFont="1" applyBorder="1" applyAlignment="1" applyProtection="1"/>
    <xf numFmtId="0" fontId="33" fillId="0" borderId="0" xfId="0" applyFont="1" applyBorder="1" applyAlignment="1" applyProtection="1">
      <alignment horizontal="right"/>
    </xf>
    <xf numFmtId="2" fontId="33" fillId="0" borderId="0" xfId="0" applyNumberFormat="1" applyFont="1" applyBorder="1" applyAlignment="1" applyProtection="1"/>
    <xf numFmtId="0" fontId="33" fillId="0" borderId="6" xfId="0" applyFont="1" applyBorder="1" applyAlignment="1" applyProtection="1">
      <alignment horizontal="center"/>
    </xf>
    <xf numFmtId="0" fontId="33" fillId="0" borderId="7" xfId="0" applyFont="1" applyBorder="1" applyAlignment="1" applyProtection="1">
      <alignment horizontal="center"/>
    </xf>
    <xf numFmtId="0" fontId="33" fillId="0" borderId="10" xfId="0" applyFont="1" applyBorder="1" applyAlignment="1" applyProtection="1">
      <alignment horizontal="center"/>
    </xf>
    <xf numFmtId="0" fontId="2" fillId="0" borderId="7" xfId="0" applyFont="1" applyBorder="1" applyAlignment="1" applyProtection="1"/>
    <xf numFmtId="0" fontId="5" fillId="0" borderId="4" xfId="0" applyFont="1" applyBorder="1" applyAlignment="1" applyProtection="1">
      <alignment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33" fillId="0" borderId="16" xfId="0" applyFont="1" applyBorder="1" applyAlignment="1" applyProtection="1">
      <alignment horizontal="center" vertical="center" wrapText="1"/>
    </xf>
    <xf numFmtId="0" fontId="33" fillId="0" borderId="15" xfId="0" applyFont="1" applyBorder="1" applyAlignment="1" applyProtection="1">
      <alignment horizontal="center" vertical="center" wrapText="1"/>
    </xf>
    <xf numFmtId="0" fontId="23" fillId="0" borderId="1" xfId="0" applyFont="1" applyBorder="1" applyProtection="1"/>
    <xf numFmtId="0" fontId="2" fillId="0" borderId="1" xfId="1" applyFont="1" applyFill="1" applyBorder="1" applyAlignment="1" applyProtection="1">
      <alignment vertical="center"/>
    </xf>
    <xf numFmtId="0" fontId="2" fillId="4" borderId="22" xfId="0" applyFont="1" applyFill="1" applyBorder="1" applyAlignment="1" applyProtection="1"/>
    <xf numFmtId="0" fontId="2" fillId="0" borderId="2" xfId="0" applyFont="1" applyBorder="1" applyProtection="1"/>
    <xf numFmtId="2" fontId="2" fillId="0" borderId="2" xfId="0" applyNumberFormat="1" applyFont="1" applyBorder="1" applyProtection="1"/>
    <xf numFmtId="0" fontId="3" fillId="5" borderId="16" xfId="0" applyFont="1" applyFill="1" applyBorder="1" applyAlignment="1" applyProtection="1">
      <alignment vertical="center"/>
    </xf>
    <xf numFmtId="0" fontId="3" fillId="5" borderId="12" xfId="0" applyFont="1" applyFill="1" applyBorder="1" applyAlignment="1" applyProtection="1">
      <alignment vertical="center"/>
    </xf>
    <xf numFmtId="0" fontId="5" fillId="0" borderId="5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23" fillId="0" borderId="1" xfId="1" applyFont="1" applyFill="1" applyBorder="1" applyAlignment="1" applyProtection="1">
      <alignment horizontal="left" vertical="top"/>
    </xf>
    <xf numFmtId="49" fontId="36" fillId="0" borderId="1" xfId="1" applyNumberFormat="1" applyFont="1" applyFill="1" applyBorder="1" applyAlignment="1" applyProtection="1"/>
    <xf numFmtId="189" fontId="34" fillId="0" borderId="1" xfId="0" applyNumberFormat="1" applyFont="1" applyBorder="1" applyAlignment="1" applyProtection="1">
      <alignment horizontal="center"/>
    </xf>
    <xf numFmtId="0" fontId="2" fillId="4" borderId="20" xfId="0" applyFont="1" applyFill="1" applyBorder="1" applyProtection="1"/>
    <xf numFmtId="189" fontId="34" fillId="4" borderId="20" xfId="0" applyNumberFormat="1" applyFont="1" applyFill="1" applyBorder="1" applyAlignment="1" applyProtection="1">
      <alignment horizontal="center"/>
    </xf>
    <xf numFmtId="0" fontId="35" fillId="0" borderId="1" xfId="1" applyFont="1" applyFill="1" applyBorder="1" applyAlignment="1" applyProtection="1">
      <alignment horizontal="left" vertical="top"/>
    </xf>
    <xf numFmtId="1" fontId="34" fillId="4" borderId="20" xfId="0" applyNumberFormat="1" applyFont="1" applyFill="1" applyBorder="1" applyAlignment="1" applyProtection="1">
      <alignment horizontal="center"/>
    </xf>
    <xf numFmtId="0" fontId="11" fillId="5" borderId="18" xfId="0" applyFont="1" applyFill="1" applyBorder="1" applyAlignment="1" applyProtection="1">
      <alignment horizontal="right" vertical="center"/>
    </xf>
    <xf numFmtId="0" fontId="5" fillId="0" borderId="19" xfId="0" applyFont="1" applyBorder="1" applyAlignment="1" applyProtection="1">
      <alignment horizontal="center"/>
    </xf>
    <xf numFmtId="0" fontId="33" fillId="0" borderId="19" xfId="0" applyFont="1" applyBorder="1" applyAlignment="1" applyProtection="1">
      <alignment horizontal="center"/>
    </xf>
    <xf numFmtId="2" fontId="33" fillId="0" borderId="4" xfId="0" applyNumberFormat="1" applyFont="1" applyBorder="1" applyAlignment="1" applyProtection="1">
      <alignment horizontal="center"/>
    </xf>
    <xf numFmtId="0" fontId="33" fillId="0" borderId="4" xfId="0" applyFont="1" applyBorder="1" applyAlignment="1" applyProtection="1">
      <alignment horizontal="center"/>
    </xf>
    <xf numFmtId="0" fontId="33" fillId="0" borderId="16" xfId="0" applyFont="1" applyBorder="1" applyAlignment="1" applyProtection="1">
      <alignment horizontal="center"/>
    </xf>
    <xf numFmtId="0" fontId="2" fillId="0" borderId="15" xfId="0" applyFont="1" applyBorder="1" applyAlignment="1" applyProtection="1"/>
    <xf numFmtId="0" fontId="35" fillId="0" borderId="7" xfId="1" applyFont="1" applyFill="1" applyBorder="1" applyAlignment="1" applyProtection="1">
      <alignment horizontal="left" vertical="top"/>
    </xf>
    <xf numFmtId="0" fontId="5" fillId="0" borderId="1" xfId="0" applyFont="1" applyBorder="1" applyAlignment="1" applyProtection="1">
      <alignment horizontal="left"/>
    </xf>
    <xf numFmtId="0" fontId="34" fillId="0" borderId="1" xfId="0" applyFont="1" applyFill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0" fontId="35" fillId="0" borderId="9" xfId="1" applyFont="1" applyFill="1" applyBorder="1" applyAlignment="1" applyProtection="1">
      <alignment horizontal="left" vertical="top"/>
    </xf>
    <xf numFmtId="0" fontId="5" fillId="0" borderId="2" xfId="0" applyFont="1" applyBorder="1" applyAlignment="1" applyProtection="1">
      <alignment horizontal="left"/>
    </xf>
    <xf numFmtId="0" fontId="2" fillId="0" borderId="2" xfId="0" applyFont="1" applyFill="1" applyBorder="1" applyProtection="1"/>
    <xf numFmtId="0" fontId="35" fillId="0" borderId="10" xfId="1" applyFont="1" applyFill="1" applyBorder="1" applyAlignment="1" applyProtection="1">
      <alignment horizontal="left" vertical="top"/>
    </xf>
    <xf numFmtId="0" fontId="34" fillId="4" borderId="20" xfId="0" applyFont="1" applyFill="1" applyBorder="1" applyAlignment="1" applyProtection="1"/>
    <xf numFmtId="0" fontId="34" fillId="0" borderId="2" xfId="0" applyFont="1" applyFill="1" applyBorder="1" applyAlignment="1" applyProtection="1">
      <alignment horizontal="center"/>
    </xf>
    <xf numFmtId="2" fontId="34" fillId="0" borderId="2" xfId="0" applyNumberFormat="1" applyFont="1" applyBorder="1" applyAlignment="1" applyProtection="1">
      <alignment horizontal="center"/>
    </xf>
    <xf numFmtId="0" fontId="34" fillId="0" borderId="3" xfId="0" applyFont="1" applyFill="1" applyBorder="1" applyAlignment="1" applyProtection="1">
      <alignment horizontal="center"/>
    </xf>
    <xf numFmtId="2" fontId="34" fillId="0" borderId="3" xfId="0" applyNumberFormat="1" applyFont="1" applyBorder="1" applyAlignment="1" applyProtection="1">
      <alignment horizontal="center"/>
    </xf>
    <xf numFmtId="0" fontId="2" fillId="0" borderId="20" xfId="0" applyFont="1" applyBorder="1" applyAlignment="1" applyProtection="1"/>
    <xf numFmtId="2" fontId="72" fillId="0" borderId="4" xfId="0" applyNumberFormat="1" applyFont="1" applyBorder="1" applyAlignment="1" applyProtection="1">
      <alignment horizontal="left"/>
    </xf>
    <xf numFmtId="2" fontId="22" fillId="3" borderId="14" xfId="0" applyNumberFormat="1" applyFont="1" applyFill="1" applyBorder="1" applyAlignment="1" applyProtection="1">
      <alignment horizontal="right"/>
    </xf>
    <xf numFmtId="49" fontId="36" fillId="0" borderId="10" xfId="1" applyNumberFormat="1" applyFont="1" applyFill="1" applyBorder="1" applyAlignment="1" applyProtection="1"/>
    <xf numFmtId="0" fontId="2" fillId="0" borderId="10" xfId="0" applyFont="1" applyBorder="1" applyAlignment="1" applyProtection="1"/>
    <xf numFmtId="0" fontId="2" fillId="0" borderId="19" xfId="0" applyFont="1" applyBorder="1" applyAlignment="1" applyProtection="1"/>
    <xf numFmtId="0" fontId="34" fillId="0" borderId="2" xfId="0" applyFont="1" applyBorder="1" applyAlignment="1" applyProtection="1">
      <alignment horizontal="center"/>
    </xf>
    <xf numFmtId="0" fontId="0" fillId="0" borderId="0" xfId="0" applyAlignment="1" applyProtection="1"/>
    <xf numFmtId="0" fontId="0" fillId="0" borderId="0" xfId="0" applyFill="1" applyAlignment="1" applyProtection="1"/>
    <xf numFmtId="0" fontId="0" fillId="0" borderId="0" xfId="0" applyProtection="1"/>
    <xf numFmtId="0" fontId="33" fillId="4" borderId="2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/>
    <xf numFmtId="0" fontId="33" fillId="0" borderId="5" xfId="0" applyFont="1" applyFill="1" applyBorder="1" applyAlignment="1" applyProtection="1">
      <alignment horizontal="right"/>
    </xf>
    <xf numFmtId="0" fontId="33" fillId="0" borderId="5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2" fontId="33" fillId="0" borderId="5" xfId="0" applyNumberFormat="1" applyFont="1" applyFill="1" applyBorder="1" applyAlignment="1" applyProtection="1">
      <alignment horizontal="right"/>
    </xf>
    <xf numFmtId="0" fontId="2" fillId="0" borderId="19" xfId="0" applyFont="1" applyFill="1" applyBorder="1" applyAlignment="1" applyProtection="1"/>
    <xf numFmtId="0" fontId="2" fillId="0" borderId="19" xfId="0" applyFont="1" applyFill="1" applyBorder="1" applyProtection="1"/>
    <xf numFmtId="0" fontId="33" fillId="0" borderId="19" xfId="0" applyFont="1" applyFill="1" applyBorder="1" applyAlignment="1" applyProtection="1">
      <alignment horizontal="right"/>
    </xf>
    <xf numFmtId="0" fontId="33" fillId="0" borderId="19" xfId="0" applyFont="1" applyFill="1" applyBorder="1" applyAlignment="1" applyProtection="1">
      <alignment horizontal="center"/>
    </xf>
    <xf numFmtId="0" fontId="2" fillId="0" borderId="19" xfId="0" applyFont="1" applyFill="1" applyBorder="1" applyAlignment="1" applyProtection="1">
      <alignment horizontal="center"/>
    </xf>
    <xf numFmtId="2" fontId="33" fillId="0" borderId="19" xfId="0" applyNumberFormat="1" applyFont="1" applyFill="1" applyBorder="1" applyAlignment="1" applyProtection="1">
      <alignment horizontal="right"/>
    </xf>
    <xf numFmtId="0" fontId="2" fillId="0" borderId="0" xfId="0" applyFont="1" applyFill="1" applyAlignment="1" applyProtection="1"/>
    <xf numFmtId="0" fontId="3" fillId="10" borderId="13" xfId="0" applyFont="1" applyFill="1" applyBorder="1" applyAlignment="1" applyProtection="1">
      <alignment vertical="center"/>
    </xf>
    <xf numFmtId="0" fontId="3" fillId="10" borderId="18" xfId="0" applyFont="1" applyFill="1" applyBorder="1" applyAlignment="1" applyProtection="1">
      <alignment vertical="center"/>
    </xf>
    <xf numFmtId="0" fontId="4" fillId="10" borderId="18" xfId="0" applyFont="1" applyFill="1" applyBorder="1" applyAlignment="1" applyProtection="1">
      <alignment horizontal="right" vertical="center"/>
    </xf>
    <xf numFmtId="0" fontId="4" fillId="10" borderId="21" xfId="0" applyFont="1" applyFill="1" applyBorder="1" applyAlignment="1" applyProtection="1">
      <alignment horizontal="right" vertical="center"/>
    </xf>
    <xf numFmtId="2" fontId="4" fillId="10" borderId="13" xfId="0" applyNumberFormat="1" applyFont="1" applyFill="1" applyBorder="1" applyAlignment="1" applyProtection="1">
      <alignment horizontal="right" vertical="center"/>
    </xf>
    <xf numFmtId="0" fontId="3" fillId="0" borderId="5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horizontal="right" vertical="center"/>
    </xf>
    <xf numFmtId="2" fontId="4" fillId="0" borderId="5" xfId="0" applyNumberFormat="1" applyFont="1" applyFill="1" applyBorder="1" applyAlignment="1" applyProtection="1">
      <alignment horizontal="right" vertical="center"/>
    </xf>
    <xf numFmtId="0" fontId="3" fillId="0" borderId="19" xfId="0" applyFont="1" applyFill="1" applyBorder="1" applyAlignment="1" applyProtection="1">
      <alignment vertical="center"/>
    </xf>
    <xf numFmtId="0" fontId="4" fillId="0" borderId="19" xfId="0" applyFont="1" applyFill="1" applyBorder="1" applyAlignment="1" applyProtection="1">
      <alignment horizontal="right" vertical="center"/>
    </xf>
    <xf numFmtId="2" fontId="4" fillId="0" borderId="19" xfId="0" applyNumberFormat="1" applyFont="1" applyFill="1" applyBorder="1" applyAlignment="1" applyProtection="1">
      <alignment horizontal="right" vertical="center"/>
    </xf>
    <xf numFmtId="0" fontId="69" fillId="0" borderId="1" xfId="0" applyFont="1" applyBorder="1" applyAlignment="1" applyProtection="1">
      <alignment horizontal="center"/>
    </xf>
    <xf numFmtId="0" fontId="17" fillId="2" borderId="14" xfId="0" applyFont="1" applyFill="1" applyBorder="1" applyAlignment="1" applyProtection="1">
      <alignment horizontal="center" vertical="top"/>
    </xf>
    <xf numFmtId="0" fontId="69" fillId="0" borderId="6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vertical="center" wrapText="1"/>
    </xf>
    <xf numFmtId="0" fontId="69" fillId="0" borderId="7" xfId="0" applyFont="1" applyBorder="1" applyAlignment="1" applyProtection="1">
      <alignment horizontal="center" vertical="center" wrapText="1"/>
    </xf>
    <xf numFmtId="0" fontId="33" fillId="0" borderId="1" xfId="0" applyFont="1" applyBorder="1" applyAlignment="1" applyProtection="1">
      <alignment horizontal="center" vertical="center" wrapText="1"/>
    </xf>
    <xf numFmtId="0" fontId="69" fillId="0" borderId="15" xfId="0" applyFont="1" applyBorder="1" applyAlignment="1" applyProtection="1">
      <alignment horizontal="center" vertical="center" wrapText="1"/>
    </xf>
    <xf numFmtId="0" fontId="33" fillId="4" borderId="22" xfId="0" applyFont="1" applyFill="1" applyBorder="1" applyAlignment="1" applyProtection="1">
      <alignment horizontal="right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17" fillId="2" borderId="14" xfId="0" applyFont="1" applyFill="1" applyBorder="1" applyAlignment="1" applyProtection="1">
      <alignment horizontal="center" vertical="center"/>
    </xf>
    <xf numFmtId="0" fontId="69" fillId="0" borderId="1" xfId="0" applyFont="1" applyBorder="1" applyAlignment="1" applyProtection="1"/>
    <xf numFmtId="0" fontId="69" fillId="0" borderId="0" xfId="0" applyFont="1" applyAlignment="1" applyProtection="1"/>
    <xf numFmtId="0" fontId="69" fillId="0" borderId="4" xfId="0" applyFont="1" applyBorder="1" applyAlignment="1" applyProtection="1"/>
    <xf numFmtId="0" fontId="69" fillId="4" borderId="21" xfId="0" applyFont="1" applyFill="1" applyBorder="1" applyProtection="1"/>
    <xf numFmtId="0" fontId="68" fillId="4" borderId="21" xfId="0" applyFont="1" applyFill="1" applyBorder="1" applyAlignment="1" applyProtection="1">
      <alignment horizontal="right"/>
    </xf>
    <xf numFmtId="0" fontId="69" fillId="4" borderId="20" xfId="0" applyFont="1" applyFill="1" applyBorder="1" applyAlignment="1" applyProtection="1"/>
    <xf numFmtId="189" fontId="22" fillId="3" borderId="14" xfId="0" applyNumberFormat="1" applyFont="1" applyFill="1" applyBorder="1" applyAlignment="1" applyProtection="1">
      <alignment horizontal="right"/>
    </xf>
    <xf numFmtId="2" fontId="11" fillId="4" borderId="20" xfId="0" applyNumberFormat="1" applyFont="1" applyFill="1" applyBorder="1" applyAlignment="1" applyProtection="1">
      <alignment horizontal="right"/>
    </xf>
    <xf numFmtId="0" fontId="2" fillId="0" borderId="7" xfId="0" applyFont="1" applyBorder="1" applyAlignment="1" applyProtection="1">
      <alignment horizontal="center"/>
      <protection locked="0"/>
    </xf>
    <xf numFmtId="0" fontId="69" fillId="0" borderId="7" xfId="0" applyFont="1" applyBorder="1" applyAlignment="1" applyProtection="1">
      <alignment horizontal="center"/>
      <protection locked="0"/>
    </xf>
    <xf numFmtId="0" fontId="8" fillId="0" borderId="0" xfId="0" applyFont="1" applyProtection="1"/>
    <xf numFmtId="0" fontId="10" fillId="0" borderId="0" xfId="0" applyFont="1" applyProtection="1"/>
    <xf numFmtId="0" fontId="5" fillId="0" borderId="1" xfId="0" applyFont="1" applyBorder="1" applyAlignment="1" applyProtection="1">
      <alignment vertical="center" wrapText="1"/>
    </xf>
    <xf numFmtId="0" fontId="22" fillId="0" borderId="2" xfId="0" applyFont="1" applyFill="1" applyBorder="1" applyAlignment="1" applyProtection="1">
      <alignment horizontal="center"/>
    </xf>
    <xf numFmtId="0" fontId="22" fillId="0" borderId="0" xfId="0" applyFont="1" applyFill="1" applyBorder="1" applyAlignment="1" applyProtection="1">
      <alignment horizontal="left"/>
    </xf>
    <xf numFmtId="0" fontId="22" fillId="0" borderId="5" xfId="0" applyFont="1" applyFill="1" applyBorder="1" applyAlignment="1" applyProtection="1">
      <alignment horizontal="left"/>
    </xf>
    <xf numFmtId="0" fontId="44" fillId="0" borderId="0" xfId="0" applyFont="1" applyProtection="1"/>
    <xf numFmtId="0" fontId="2" fillId="0" borderId="0" xfId="1" applyFont="1" applyFill="1" applyBorder="1" applyAlignment="1" applyProtection="1">
      <alignment vertical="top"/>
    </xf>
    <xf numFmtId="0" fontId="7" fillId="0" borderId="1" xfId="0" applyFont="1" applyBorder="1" applyAlignment="1" applyProtection="1"/>
    <xf numFmtId="0" fontId="3" fillId="2" borderId="12" xfId="0" applyFont="1" applyFill="1" applyBorder="1" applyAlignment="1" applyProtection="1">
      <alignment horizontal="center" wrapText="1"/>
    </xf>
    <xf numFmtId="0" fontId="22" fillId="0" borderId="1" xfId="0" applyFont="1" applyFill="1" applyBorder="1" applyAlignment="1" applyProtection="1">
      <alignment horizontal="center"/>
    </xf>
    <xf numFmtId="0" fontId="68" fillId="0" borderId="19" xfId="0" applyFont="1" applyFill="1" applyBorder="1" applyAlignment="1" applyProtection="1">
      <alignment horizontal="left" vertical="center"/>
    </xf>
    <xf numFmtId="0" fontId="5" fillId="0" borderId="19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horizontal="center" vertical="center"/>
    </xf>
    <xf numFmtId="0" fontId="33" fillId="0" borderId="4" xfId="0" applyFont="1" applyBorder="1" applyAlignment="1" applyProtection="1">
      <alignment horizontal="center" vertical="center"/>
    </xf>
    <xf numFmtId="2" fontId="33" fillId="0" borderId="4" xfId="0" applyNumberFormat="1" applyFont="1" applyBorder="1" applyAlignment="1" applyProtection="1">
      <alignment horizontal="right" vertical="center"/>
    </xf>
    <xf numFmtId="0" fontId="4" fillId="10" borderId="13" xfId="0" applyFont="1" applyFill="1" applyBorder="1" applyAlignment="1" applyProtection="1">
      <alignment horizontal="center" vertical="center"/>
    </xf>
    <xf numFmtId="0" fontId="83" fillId="0" borderId="0" xfId="0" applyFont="1" applyProtection="1">
      <protection locked="0"/>
    </xf>
    <xf numFmtId="0" fontId="45" fillId="0" borderId="0" xfId="0" applyFont="1" applyProtection="1">
      <protection locked="0"/>
    </xf>
    <xf numFmtId="0" fontId="45" fillId="0" borderId="0" xfId="0" applyFont="1" applyFill="1" applyBorder="1" applyAlignment="1" applyProtection="1">
      <alignment vertical="top"/>
      <protection locked="0"/>
    </xf>
    <xf numFmtId="0" fontId="46" fillId="0" borderId="0" xfId="0" applyFont="1" applyFill="1" applyBorder="1" applyAlignment="1" applyProtection="1">
      <alignment horizontal="left" vertical="top"/>
      <protection locked="0"/>
    </xf>
    <xf numFmtId="0" fontId="45" fillId="0" borderId="10" xfId="0" applyFont="1" applyBorder="1" applyAlignment="1" applyProtection="1">
      <protection locked="0"/>
    </xf>
    <xf numFmtId="0" fontId="46" fillId="0" borderId="0" xfId="0" applyFont="1" applyBorder="1" applyAlignment="1" applyProtection="1">
      <protection locked="0"/>
    </xf>
    <xf numFmtId="0" fontId="45" fillId="0" borderId="0" xfId="0" applyFont="1" applyBorder="1" applyProtection="1">
      <protection locked="0"/>
    </xf>
    <xf numFmtId="0" fontId="45" fillId="0" borderId="7" xfId="0" applyFont="1" applyBorder="1" applyProtection="1">
      <protection locked="0"/>
    </xf>
    <xf numFmtId="0" fontId="45" fillId="0" borderId="0" xfId="0" applyFont="1" applyBorder="1" applyAlignment="1" applyProtection="1">
      <protection locked="0"/>
    </xf>
    <xf numFmtId="0" fontId="46" fillId="0" borderId="10" xfId="0" applyFont="1" applyBorder="1" applyAlignment="1" applyProtection="1">
      <alignment horizontal="right"/>
      <protection locked="0"/>
    </xf>
    <xf numFmtId="0" fontId="46" fillId="0" borderId="10" xfId="0" applyFont="1" applyBorder="1" applyAlignment="1" applyProtection="1">
      <protection locked="0"/>
    </xf>
    <xf numFmtId="0" fontId="46" fillId="0" borderId="0" xfId="0" applyFont="1" applyBorder="1" applyAlignment="1" applyProtection="1">
      <alignment horizontal="right"/>
      <protection locked="0"/>
    </xf>
    <xf numFmtId="0" fontId="46" fillId="0" borderId="0" xfId="0" applyFont="1" applyBorder="1" applyAlignment="1" applyProtection="1">
      <alignment horizontal="left" indent="2"/>
      <protection locked="0"/>
    </xf>
    <xf numFmtId="0" fontId="92" fillId="0" borderId="10" xfId="0" applyFont="1" applyBorder="1" applyAlignment="1" applyProtection="1">
      <alignment horizontal="right"/>
      <protection locked="0"/>
    </xf>
    <xf numFmtId="0" fontId="47" fillId="0" borderId="0" xfId="0" applyFont="1" applyBorder="1" applyProtection="1">
      <protection locked="0"/>
    </xf>
    <xf numFmtId="0" fontId="92" fillId="0" borderId="0" xfId="0" applyFont="1" applyBorder="1" applyAlignment="1" applyProtection="1">
      <protection locked="0"/>
    </xf>
    <xf numFmtId="0" fontId="92" fillId="0" borderId="10" xfId="0" applyFont="1" applyBorder="1" applyAlignment="1" applyProtection="1">
      <protection locked="0"/>
    </xf>
    <xf numFmtId="0" fontId="92" fillId="0" borderId="0" xfId="0" applyFont="1" applyBorder="1" applyAlignment="1" applyProtection="1">
      <alignment horizontal="left" indent="2"/>
      <protection locked="0"/>
    </xf>
    <xf numFmtId="0" fontId="92" fillId="0" borderId="10" xfId="0" applyFont="1" applyBorder="1" applyAlignment="1" applyProtection="1">
      <alignment horizontal="left"/>
      <protection locked="0"/>
    </xf>
    <xf numFmtId="0" fontId="92" fillId="0" borderId="0" xfId="0" applyFont="1" applyBorder="1" applyAlignment="1" applyProtection="1">
      <alignment horizontal="left"/>
      <protection locked="0"/>
    </xf>
    <xf numFmtId="0" fontId="45" fillId="0" borderId="15" xfId="0" applyFont="1" applyBorder="1" applyProtection="1">
      <protection locked="0"/>
    </xf>
    <xf numFmtId="0" fontId="38" fillId="0" borderId="7" xfId="3" applyFont="1" applyFill="1" applyBorder="1" applyAlignment="1">
      <alignment horizontal="center" vertical="top" wrapText="1"/>
    </xf>
    <xf numFmtId="0" fontId="38" fillId="0" borderId="1" xfId="3" applyFont="1" applyFill="1" applyBorder="1" applyAlignment="1">
      <alignment horizontal="center" vertical="top"/>
    </xf>
    <xf numFmtId="0" fontId="48" fillId="0" borderId="7" xfId="3" quotePrefix="1" applyFont="1" applyBorder="1" applyAlignment="1">
      <alignment vertical="top" wrapText="1"/>
    </xf>
    <xf numFmtId="1" fontId="38" fillId="0" borderId="1" xfId="3" applyNumberFormat="1" applyFont="1" applyFill="1" applyBorder="1" applyAlignment="1">
      <alignment horizontal="center" vertical="top"/>
    </xf>
    <xf numFmtId="0" fontId="18" fillId="0" borderId="7" xfId="3" applyFont="1" applyBorder="1" applyAlignment="1">
      <alignment vertical="top" wrapText="1"/>
    </xf>
    <xf numFmtId="0" fontId="48" fillId="0" borderId="7" xfId="3" applyFont="1" applyBorder="1" applyAlignment="1">
      <alignment horizontal="left" vertical="top" wrapText="1"/>
    </xf>
    <xf numFmtId="0" fontId="11" fillId="13" borderId="18" xfId="0" applyFont="1" applyFill="1" applyBorder="1" applyAlignment="1" applyProtection="1">
      <alignment horizontal="center" vertical="center" wrapText="1"/>
    </xf>
    <xf numFmtId="0" fontId="11" fillId="13" borderId="12" xfId="0" applyFont="1" applyFill="1" applyBorder="1" applyAlignment="1" applyProtection="1">
      <alignment horizontal="center" vertical="center" wrapText="1"/>
    </xf>
    <xf numFmtId="0" fontId="11" fillId="11" borderId="5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2" fontId="4" fillId="0" borderId="0" xfId="0" applyNumberFormat="1" applyFont="1" applyFill="1" applyBorder="1" applyAlignment="1" applyProtection="1">
      <alignment horizontal="right" vertical="center"/>
    </xf>
    <xf numFmtId="0" fontId="81" fillId="8" borderId="38" xfId="0" applyFont="1" applyFill="1" applyBorder="1" applyAlignment="1" applyProtection="1">
      <alignment horizontal="center" wrapText="1"/>
    </xf>
    <xf numFmtId="0" fontId="81" fillId="8" borderId="39" xfId="0" applyFont="1" applyFill="1" applyBorder="1" applyAlignment="1" applyProtection="1">
      <alignment horizontal="right" wrapText="1"/>
    </xf>
    <xf numFmtId="0" fontId="81" fillId="8" borderId="39" xfId="0" applyFont="1" applyFill="1" applyBorder="1" applyAlignment="1" applyProtection="1">
      <alignment horizontal="center" wrapText="1"/>
    </xf>
    <xf numFmtId="0" fontId="81" fillId="8" borderId="40" xfId="0" applyFont="1" applyFill="1" applyBorder="1" applyAlignment="1" applyProtection="1">
      <alignment horizontal="right" vertical="center"/>
    </xf>
    <xf numFmtId="0" fontId="79" fillId="8" borderId="41" xfId="0" applyFont="1" applyFill="1" applyBorder="1" applyAlignment="1" applyProtection="1">
      <alignment horizontal="center" vertical="center"/>
    </xf>
    <xf numFmtId="0" fontId="79" fillId="8" borderId="40" xfId="0" applyFont="1" applyFill="1" applyBorder="1" applyAlignment="1" applyProtection="1">
      <alignment horizontal="center" vertical="center"/>
    </xf>
    <xf numFmtId="0" fontId="81" fillId="0" borderId="42" xfId="0" applyFont="1" applyFill="1" applyBorder="1" applyAlignment="1" applyProtection="1">
      <alignment horizontal="center" wrapText="1"/>
    </xf>
    <xf numFmtId="0" fontId="81" fillId="0" borderId="19" xfId="0" applyFont="1" applyFill="1" applyBorder="1" applyAlignment="1" applyProtection="1">
      <alignment horizontal="right" wrapText="1"/>
    </xf>
    <xf numFmtId="0" fontId="81" fillId="0" borderId="19" xfId="0" applyFont="1" applyFill="1" applyBorder="1" applyAlignment="1" applyProtection="1">
      <alignment horizontal="center" wrapText="1"/>
    </xf>
    <xf numFmtId="2" fontId="79" fillId="0" borderId="43" xfId="0" applyNumberFormat="1" applyFont="1" applyFill="1" applyBorder="1" applyAlignment="1" applyProtection="1">
      <alignment horizontal="center" vertical="center"/>
    </xf>
    <xf numFmtId="0" fontId="80" fillId="0" borderId="44" xfId="0" applyFont="1" applyFill="1" applyBorder="1" applyAlignment="1" applyProtection="1">
      <alignment horizontal="center" vertical="center"/>
    </xf>
    <xf numFmtId="2" fontId="79" fillId="0" borderId="12" xfId="0" applyNumberFormat="1" applyFont="1" applyFill="1" applyBorder="1" applyAlignment="1" applyProtection="1">
      <alignment horizontal="center" vertical="center"/>
    </xf>
    <xf numFmtId="2" fontId="79" fillId="0" borderId="13" xfId="0" applyNumberFormat="1" applyFont="1" applyFill="1" applyBorder="1" applyAlignment="1" applyProtection="1">
      <alignment horizontal="center" vertical="center"/>
    </xf>
    <xf numFmtId="2" fontId="79" fillId="0" borderId="45" xfId="0" applyNumberFormat="1" applyFont="1" applyFill="1" applyBorder="1" applyAlignment="1" applyProtection="1">
      <alignment horizontal="center" vertical="center"/>
    </xf>
    <xf numFmtId="0" fontId="81" fillId="8" borderId="46" xfId="0" applyFont="1" applyFill="1" applyBorder="1" applyAlignment="1" applyProtection="1">
      <alignment horizontal="center" wrapText="1"/>
    </xf>
    <xf numFmtId="0" fontId="81" fillId="8" borderId="47" xfId="0" applyFont="1" applyFill="1" applyBorder="1" applyAlignment="1" applyProtection="1">
      <alignment horizontal="right" wrapText="1"/>
    </xf>
    <xf numFmtId="0" fontId="81" fillId="8" borderId="47" xfId="0" applyFont="1" applyFill="1" applyBorder="1" applyAlignment="1" applyProtection="1">
      <alignment horizontal="center" wrapText="1"/>
    </xf>
    <xf numFmtId="0" fontId="81" fillId="8" borderId="48" xfId="0" applyFont="1" applyFill="1" applyBorder="1" applyAlignment="1" applyProtection="1">
      <alignment horizontal="right" vertical="center"/>
    </xf>
    <xf numFmtId="0" fontId="79" fillId="8" borderId="49" xfId="0" applyFont="1" applyFill="1" applyBorder="1" applyAlignment="1" applyProtection="1">
      <alignment horizontal="center" vertical="center"/>
    </xf>
    <xf numFmtId="0" fontId="79" fillId="8" borderId="48" xfId="0" applyFont="1" applyFill="1" applyBorder="1" applyAlignment="1" applyProtection="1">
      <alignment horizontal="center" vertical="center"/>
    </xf>
    <xf numFmtId="0" fontId="80" fillId="0" borderId="44" xfId="0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left" vertical="center"/>
    </xf>
    <xf numFmtId="0" fontId="106" fillId="0" borderId="1" xfId="0" applyFont="1" applyBorder="1" applyAlignment="1" applyProtection="1"/>
    <xf numFmtId="0" fontId="106" fillId="0" borderId="5" xfId="0" applyFont="1" applyBorder="1" applyAlignment="1" applyProtection="1"/>
    <xf numFmtId="0" fontId="106" fillId="0" borderId="6" xfId="0" applyFont="1" applyBorder="1" applyAlignment="1" applyProtection="1"/>
    <xf numFmtId="0" fontId="106" fillId="0" borderId="0" xfId="0" applyFont="1" applyAlignment="1" applyProtection="1"/>
    <xf numFmtId="0" fontId="106" fillId="0" borderId="0" xfId="0" applyFont="1" applyBorder="1" applyAlignment="1" applyProtection="1"/>
    <xf numFmtId="0" fontId="106" fillId="0" borderId="7" xfId="0" applyFont="1" applyBorder="1" applyAlignment="1" applyProtection="1">
      <alignment horizontal="center"/>
    </xf>
    <xf numFmtId="0" fontId="106" fillId="0" borderId="1" xfId="0" applyFont="1" applyBorder="1" applyAlignment="1" applyProtection="1">
      <alignment horizontal="center"/>
      <protection locked="0"/>
    </xf>
    <xf numFmtId="0" fontId="107" fillId="0" borderId="7" xfId="0" applyFont="1" applyBorder="1" applyAlignment="1" applyProtection="1"/>
    <xf numFmtId="16" fontId="2" fillId="0" borderId="0" xfId="0" applyNumberFormat="1" applyFont="1" applyProtection="1"/>
    <xf numFmtId="0" fontId="27" fillId="0" borderId="19" xfId="0" applyFont="1" applyFill="1" applyBorder="1" applyAlignment="1" applyProtection="1"/>
    <xf numFmtId="1" fontId="30" fillId="0" borderId="19" xfId="0" applyNumberFormat="1" applyFont="1" applyFill="1" applyBorder="1" applyAlignment="1" applyProtection="1">
      <alignment horizontal="right"/>
    </xf>
    <xf numFmtId="0" fontId="27" fillId="0" borderId="19" xfId="0" applyFont="1" applyFill="1" applyBorder="1" applyAlignment="1" applyProtection="1">
      <alignment horizontal="center"/>
    </xf>
    <xf numFmtId="2" fontId="30" fillId="0" borderId="19" xfId="0" applyNumberFormat="1" applyFont="1" applyFill="1" applyBorder="1" applyAlignment="1" applyProtection="1">
      <alignment horizontal="right"/>
    </xf>
    <xf numFmtId="1" fontId="30" fillId="4" borderId="50" xfId="0" applyNumberFormat="1" applyFont="1" applyFill="1" applyBorder="1" applyAlignment="1" applyProtection="1">
      <alignment horizontal="right"/>
    </xf>
    <xf numFmtId="0" fontId="27" fillId="0" borderId="5" xfId="0" applyFont="1" applyFill="1" applyBorder="1" applyAlignment="1" applyProtection="1"/>
    <xf numFmtId="1" fontId="30" fillId="0" borderId="5" xfId="0" applyNumberFormat="1" applyFont="1" applyFill="1" applyBorder="1" applyAlignment="1" applyProtection="1">
      <alignment horizontal="right"/>
    </xf>
    <xf numFmtId="0" fontId="27" fillId="0" borderId="5" xfId="0" applyFont="1" applyFill="1" applyBorder="1" applyAlignment="1" applyProtection="1">
      <alignment horizontal="center"/>
    </xf>
    <xf numFmtId="2" fontId="30" fillId="0" borderId="5" xfId="0" applyNumberFormat="1" applyFont="1" applyFill="1" applyBorder="1" applyAlignment="1" applyProtection="1">
      <alignment horizontal="right"/>
    </xf>
    <xf numFmtId="189" fontId="7" fillId="0" borderId="1" xfId="0" applyNumberFormat="1" applyFont="1" applyBorder="1" applyAlignment="1" applyProtection="1">
      <alignment horizontal="center"/>
    </xf>
    <xf numFmtId="4" fontId="7" fillId="0" borderId="0" xfId="0" applyNumberFormat="1" applyFont="1" applyFill="1" applyBorder="1" applyAlignment="1" applyProtection="1">
      <alignment horizontal="center" vertical="center" wrapText="1"/>
    </xf>
    <xf numFmtId="4" fontId="7" fillId="0" borderId="7" xfId="0" applyNumberFormat="1" applyFont="1" applyFill="1" applyBorder="1" applyAlignment="1" applyProtection="1">
      <alignment horizontal="center" vertical="center" wrapText="1"/>
    </xf>
    <xf numFmtId="4" fontId="7" fillId="0" borderId="0" xfId="0" applyNumberFormat="1" applyFont="1" applyFill="1" applyBorder="1" applyAlignment="1" applyProtection="1">
      <alignment horizontal="center" vertical="center"/>
    </xf>
    <xf numFmtId="4" fontId="7" fillId="0" borderId="7" xfId="0" applyNumberFormat="1" applyFont="1" applyFill="1" applyBorder="1" applyAlignment="1" applyProtection="1">
      <alignment horizontal="center" vertical="center"/>
    </xf>
    <xf numFmtId="4" fontId="7" fillId="0" borderId="19" xfId="0" applyNumberFormat="1" applyFont="1" applyFill="1" applyBorder="1" applyAlignment="1" applyProtection="1">
      <alignment horizontal="center" vertical="center"/>
    </xf>
    <xf numFmtId="4" fontId="7" fillId="0" borderId="15" xfId="0" applyNumberFormat="1" applyFont="1" applyFill="1" applyBorder="1" applyAlignment="1" applyProtection="1">
      <alignment horizontal="center" vertical="center"/>
    </xf>
    <xf numFmtId="4" fontId="11" fillId="6" borderId="18" xfId="0" applyNumberFormat="1" applyFont="1" applyFill="1" applyBorder="1" applyAlignment="1" applyProtection="1">
      <alignment horizontal="center" vertical="center"/>
    </xf>
    <xf numFmtId="4" fontId="11" fillId="6" borderId="12" xfId="0" applyNumberFormat="1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left"/>
    </xf>
    <xf numFmtId="0" fontId="2" fillId="0" borderId="10" xfId="0" applyFont="1" applyBorder="1" applyAlignment="1" applyProtection="1">
      <alignment horizontal="left"/>
    </xf>
    <xf numFmtId="0" fontId="27" fillId="0" borderId="0" xfId="0" applyFont="1" applyFill="1" applyBorder="1" applyAlignment="1" applyProtection="1">
      <alignment vertical="top"/>
    </xf>
    <xf numFmtId="0" fontId="2" fillId="0" borderId="26" xfId="0" applyFont="1" applyBorder="1" applyAlignment="1" applyProtection="1">
      <alignment horizontal="center" vertical="center"/>
      <protection locked="0"/>
    </xf>
    <xf numFmtId="0" fontId="26" fillId="0" borderId="0" xfId="0" applyFont="1" applyBorder="1" applyProtection="1"/>
    <xf numFmtId="0" fontId="26" fillId="0" borderId="0" xfId="0" applyFont="1" applyBorder="1" applyAlignment="1" applyProtection="1"/>
    <xf numFmtId="0" fontId="26" fillId="0" borderId="0" xfId="0" applyFont="1" applyBorder="1" applyAlignment="1" applyProtection="1">
      <alignment horizontal="center"/>
    </xf>
    <xf numFmtId="0" fontId="27" fillId="0" borderId="2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</xf>
    <xf numFmtId="2" fontId="7" fillId="0" borderId="4" xfId="0" applyNumberFormat="1" applyFont="1" applyBorder="1" applyAlignment="1" applyProtection="1">
      <alignment horizontal="center"/>
    </xf>
    <xf numFmtId="0" fontId="100" fillId="0" borderId="4" xfId="0" applyFont="1" applyFill="1" applyBorder="1" applyAlignment="1" applyProtection="1">
      <alignment horizontal="center" vertical="center" wrapText="1"/>
    </xf>
    <xf numFmtId="1" fontId="7" fillId="0" borderId="1" xfId="0" applyNumberFormat="1" applyFont="1" applyBorder="1" applyAlignment="1" applyProtection="1">
      <alignment horizontal="center"/>
    </xf>
    <xf numFmtId="0" fontId="27" fillId="4" borderId="21" xfId="0" applyFont="1" applyFill="1" applyBorder="1" applyAlignment="1" applyProtection="1"/>
    <xf numFmtId="1" fontId="30" fillId="0" borderId="0" xfId="0" applyNumberFormat="1" applyFont="1" applyBorder="1" applyAlignment="1" applyProtection="1">
      <alignment horizontal="right"/>
    </xf>
    <xf numFmtId="0" fontId="27" fillId="0" borderId="0" xfId="0" applyFont="1" applyBorder="1" applyAlignment="1" applyProtection="1">
      <alignment horizontal="center"/>
    </xf>
    <xf numFmtId="2" fontId="30" fillId="0" borderId="0" xfId="0" applyNumberFormat="1" applyFont="1" applyBorder="1" applyAlignment="1" applyProtection="1">
      <alignment horizontal="right"/>
    </xf>
    <xf numFmtId="1" fontId="30" fillId="0" borderId="19" xfId="0" applyNumberFormat="1" applyFont="1" applyBorder="1" applyAlignment="1" applyProtection="1">
      <alignment horizontal="right"/>
    </xf>
    <xf numFmtId="0" fontId="27" fillId="0" borderId="19" xfId="0" applyFont="1" applyBorder="1" applyAlignment="1" applyProtection="1">
      <alignment horizontal="center"/>
    </xf>
    <xf numFmtId="2" fontId="30" fillId="0" borderId="19" xfId="0" applyNumberFormat="1" applyFont="1" applyBorder="1" applyAlignment="1" applyProtection="1">
      <alignment horizontal="right"/>
    </xf>
    <xf numFmtId="0" fontId="106" fillId="0" borderId="19" xfId="0" applyFont="1" applyBorder="1" applyAlignment="1" applyProtection="1"/>
    <xf numFmtId="0" fontId="2" fillId="0" borderId="0" xfId="0" applyFont="1" applyFill="1" applyBorder="1" applyAlignment="1" applyProtection="1">
      <alignment horizontal="center" vertical="center"/>
    </xf>
    <xf numFmtId="0" fontId="108" fillId="0" borderId="0" xfId="0" applyFont="1" applyFill="1" applyBorder="1" applyAlignment="1" applyProtection="1">
      <alignment horizontal="left" vertical="center"/>
    </xf>
    <xf numFmtId="0" fontId="2" fillId="4" borderId="24" xfId="0" applyFont="1" applyFill="1" applyBorder="1" applyProtection="1"/>
    <xf numFmtId="0" fontId="11" fillId="4" borderId="50" xfId="0" applyFont="1" applyFill="1" applyBorder="1" applyAlignment="1" applyProtection="1">
      <alignment horizontal="right"/>
    </xf>
    <xf numFmtId="0" fontId="2" fillId="4" borderId="25" xfId="0" applyFont="1" applyFill="1" applyBorder="1" applyAlignment="1" applyProtection="1">
      <alignment horizontal="center"/>
    </xf>
    <xf numFmtId="2" fontId="11" fillId="4" borderId="25" xfId="0" applyNumberFormat="1" applyFont="1" applyFill="1" applyBorder="1" applyProtection="1"/>
    <xf numFmtId="1" fontId="45" fillId="0" borderId="1" xfId="3" applyNumberFormat="1" applyFont="1" applyBorder="1"/>
    <xf numFmtId="1" fontId="38" fillId="0" borderId="7" xfId="3" applyNumberFormat="1" applyFont="1" applyFill="1" applyBorder="1" applyAlignment="1">
      <alignment horizontal="center" vertical="top"/>
    </xf>
    <xf numFmtId="0" fontId="2" fillId="0" borderId="19" xfId="1" applyFont="1" applyFill="1" applyBorder="1" applyAlignment="1" applyProtection="1">
      <alignment vertical="top"/>
      <protection locked="0"/>
    </xf>
    <xf numFmtId="1" fontId="27" fillId="0" borderId="3" xfId="0" applyNumberFormat="1" applyFont="1" applyBorder="1" applyAlignment="1" applyProtection="1">
      <alignment horizontal="center"/>
      <protection locked="0"/>
    </xf>
    <xf numFmtId="49" fontId="103" fillId="0" borderId="10" xfId="0" applyNumberFormat="1" applyFont="1" applyBorder="1" applyAlignment="1" applyProtection="1">
      <alignment horizontal="center"/>
      <protection locked="0"/>
    </xf>
    <xf numFmtId="49" fontId="104" fillId="0" borderId="16" xfId="0" applyNumberFormat="1" applyFont="1" applyBorder="1" applyAlignment="1" applyProtection="1">
      <protection locked="0"/>
    </xf>
    <xf numFmtId="0" fontId="55" fillId="0" borderId="0" xfId="0" applyFont="1" applyProtection="1"/>
    <xf numFmtId="2" fontId="29" fillId="0" borderId="2" xfId="0" applyNumberFormat="1" applyFont="1" applyBorder="1" applyAlignment="1" applyProtection="1">
      <alignment horizontal="center" vertical="center"/>
    </xf>
    <xf numFmtId="0" fontId="32" fillId="0" borderId="2" xfId="0" applyFont="1" applyBorder="1" applyAlignment="1" applyProtection="1">
      <alignment horizontal="center" vertical="center"/>
    </xf>
    <xf numFmtId="0" fontId="32" fillId="0" borderId="3" xfId="0" applyFont="1" applyBorder="1" applyAlignment="1" applyProtection="1">
      <alignment horizontal="center" vertical="center"/>
    </xf>
    <xf numFmtId="0" fontId="27" fillId="0" borderId="2" xfId="0" applyFont="1" applyBorder="1" applyAlignment="1" applyProtection="1">
      <alignment horizontal="center" vertical="center"/>
      <protection locked="0"/>
    </xf>
    <xf numFmtId="0" fontId="27" fillId="0" borderId="3" xfId="0" applyFont="1" applyBorder="1" applyAlignment="1" applyProtection="1">
      <alignment horizontal="center" vertical="center"/>
      <protection locked="0"/>
    </xf>
    <xf numFmtId="1" fontId="29" fillId="0" borderId="6" xfId="0" applyNumberFormat="1" applyFont="1" applyBorder="1" applyAlignment="1" applyProtection="1">
      <alignment vertical="center"/>
    </xf>
    <xf numFmtId="1" fontId="29" fillId="0" borderId="8" xfId="0" applyNumberFormat="1" applyFont="1" applyBorder="1" applyAlignment="1" applyProtection="1">
      <alignment vertical="center"/>
    </xf>
    <xf numFmtId="0" fontId="92" fillId="0" borderId="0" xfId="0" applyFont="1" applyBorder="1" applyAlignment="1" applyProtection="1">
      <alignment horizontal="right"/>
      <protection locked="0"/>
    </xf>
    <xf numFmtId="0" fontId="46" fillId="0" borderId="16" xfId="0" applyFont="1" applyBorder="1" applyAlignment="1" applyProtection="1">
      <alignment horizontal="right"/>
      <protection locked="0"/>
    </xf>
    <xf numFmtId="0" fontId="46" fillId="0" borderId="19" xfId="0" applyFont="1" applyBorder="1" applyAlignment="1" applyProtection="1">
      <alignment horizontal="right"/>
      <protection locked="0"/>
    </xf>
    <xf numFmtId="0" fontId="45" fillId="0" borderId="19" xfId="0" applyFont="1" applyBorder="1" applyProtection="1">
      <protection locked="0"/>
    </xf>
    <xf numFmtId="0" fontId="46" fillId="0" borderId="15" xfId="0" applyFont="1" applyBorder="1" applyAlignment="1" applyProtection="1">
      <alignment horizontal="left" indent="2"/>
      <protection locked="0"/>
    </xf>
    <xf numFmtId="0" fontId="38" fillId="0" borderId="0" xfId="0" applyFont="1" applyProtection="1">
      <protection locked="0"/>
    </xf>
    <xf numFmtId="0" fontId="82" fillId="0" borderId="0" xfId="0" applyFont="1" applyProtection="1">
      <protection locked="0"/>
    </xf>
    <xf numFmtId="0" fontId="39" fillId="0" borderId="0" xfId="0" applyFont="1" applyAlignment="1" applyProtection="1">
      <alignment horizontal="right"/>
      <protection locked="0"/>
    </xf>
    <xf numFmtId="0" fontId="45" fillId="0" borderId="0" xfId="0" applyFont="1" applyBorder="1" applyAlignment="1" applyProtection="1">
      <alignment horizontal="left"/>
      <protection locked="0"/>
    </xf>
    <xf numFmtId="0" fontId="95" fillId="0" borderId="2" xfId="0" applyFont="1" applyBorder="1" applyAlignment="1" applyProtection="1">
      <alignment horizontal="center" vertical="center" wrapText="1" shrinkToFit="1"/>
      <protection locked="0"/>
    </xf>
    <xf numFmtId="0" fontId="95" fillId="0" borderId="4" xfId="0" applyFont="1" applyBorder="1" applyAlignment="1" applyProtection="1">
      <alignment horizontal="center" vertical="center" wrapText="1" shrinkToFit="1"/>
      <protection locked="0"/>
    </xf>
    <xf numFmtId="0" fontId="45" fillId="0" borderId="1" xfId="0" applyFont="1" applyBorder="1" applyAlignment="1" applyProtection="1">
      <alignment horizontal="left" vertical="top" wrapText="1"/>
      <protection locked="0"/>
    </xf>
    <xf numFmtId="0" fontId="83" fillId="0" borderId="7" xfId="0" applyFont="1" applyBorder="1" applyAlignment="1" applyProtection="1">
      <alignment horizontal="center"/>
      <protection locked="0"/>
    </xf>
    <xf numFmtId="2" fontId="83" fillId="0" borderId="7" xfId="0" applyNumberFormat="1" applyFont="1" applyBorder="1" applyAlignment="1" applyProtection="1">
      <alignment horizontal="center"/>
      <protection locked="0"/>
    </xf>
    <xf numFmtId="0" fontId="45" fillId="0" borderId="4" xfId="0" applyFont="1" applyBorder="1" applyAlignment="1" applyProtection="1">
      <alignment horizontal="left" vertical="top" wrapText="1"/>
      <protection locked="0"/>
    </xf>
    <xf numFmtId="0" fontId="45" fillId="0" borderId="4" xfId="0" applyFont="1" applyBorder="1" applyProtection="1">
      <protection locked="0"/>
    </xf>
    <xf numFmtId="0" fontId="83" fillId="0" borderId="4" xfId="0" applyFont="1" applyBorder="1" applyProtection="1">
      <protection locked="0"/>
    </xf>
    <xf numFmtId="0" fontId="83" fillId="0" borderId="15" xfId="0" applyFont="1" applyBorder="1" applyProtection="1">
      <protection locked="0"/>
    </xf>
    <xf numFmtId="0" fontId="45" fillId="0" borderId="2" xfId="0" applyFont="1" applyBorder="1" applyAlignment="1" applyProtection="1">
      <alignment horizontal="left" vertical="top" wrapText="1"/>
      <protection locked="0"/>
    </xf>
    <xf numFmtId="0" fontId="83" fillId="0" borderId="6" xfId="0" applyFont="1" applyBorder="1" applyAlignment="1" applyProtection="1">
      <alignment horizontal="center"/>
      <protection locked="0"/>
    </xf>
    <xf numFmtId="2" fontId="83" fillId="0" borderId="6" xfId="0" applyNumberFormat="1" applyFont="1" applyBorder="1" applyAlignment="1" applyProtection="1">
      <alignment horizontal="center"/>
      <protection locked="0"/>
    </xf>
    <xf numFmtId="0" fontId="83" fillId="0" borderId="12" xfId="0" applyFont="1" applyBorder="1" applyAlignment="1" applyProtection="1">
      <alignment horizontal="center" vertical="top" wrapText="1"/>
      <protection locked="0"/>
    </xf>
    <xf numFmtId="2" fontId="83" fillId="0" borderId="13" xfId="0" applyNumberFormat="1" applyFont="1" applyBorder="1" applyAlignment="1" applyProtection="1">
      <alignment horizontal="center"/>
      <protection locked="0"/>
    </xf>
    <xf numFmtId="2" fontId="83" fillId="0" borderId="2" xfId="0" applyNumberFormat="1" applyFont="1" applyBorder="1" applyAlignment="1" applyProtection="1">
      <alignment horizontal="center"/>
      <protection locked="0"/>
    </xf>
    <xf numFmtId="2" fontId="83" fillId="0" borderId="16" xfId="0" applyNumberFormat="1" applyFont="1" applyBorder="1" applyAlignment="1" applyProtection="1">
      <alignment horizontal="center"/>
      <protection locked="0"/>
    </xf>
    <xf numFmtId="0" fontId="45" fillId="0" borderId="16" xfId="0" applyFont="1" applyBorder="1" applyAlignment="1" applyProtection="1">
      <alignment horizontal="left"/>
      <protection locked="0"/>
    </xf>
    <xf numFmtId="2" fontId="83" fillId="0" borderId="4" xfId="0" applyNumberFormat="1" applyFont="1" applyBorder="1" applyAlignment="1" applyProtection="1">
      <alignment horizontal="center"/>
      <protection locked="0"/>
    </xf>
    <xf numFmtId="0" fontId="83" fillId="0" borderId="4" xfId="0" applyFont="1" applyBorder="1" applyAlignment="1" applyProtection="1">
      <alignment horizontal="center"/>
      <protection locked="0"/>
    </xf>
    <xf numFmtId="0" fontId="45" fillId="0" borderId="13" xfId="0" applyFont="1" applyBorder="1" applyProtection="1">
      <protection locked="0"/>
    </xf>
    <xf numFmtId="2" fontId="83" fillId="0" borderId="15" xfId="0" applyNumberFormat="1" applyFont="1" applyBorder="1" applyAlignment="1" applyProtection="1">
      <alignment horizontal="center" vertical="center"/>
      <protection locked="0"/>
    </xf>
    <xf numFmtId="2" fontId="83" fillId="0" borderId="12" xfId="0" applyNumberFormat="1" applyFont="1" applyBorder="1" applyAlignment="1" applyProtection="1">
      <alignment horizontal="center" vertical="center"/>
      <protection locked="0"/>
    </xf>
    <xf numFmtId="49" fontId="45" fillId="0" borderId="2" xfId="0" applyNumberFormat="1" applyFont="1" applyBorder="1" applyAlignment="1" applyProtection="1">
      <alignment horizontal="left" vertical="top" wrapText="1"/>
      <protection locked="0"/>
    </xf>
    <xf numFmtId="49" fontId="45" fillId="0" borderId="13" xfId="0" applyNumberFormat="1" applyFont="1" applyBorder="1" applyAlignment="1" applyProtection="1">
      <alignment horizontal="left" vertical="top" wrapText="1"/>
      <protection locked="0"/>
    </xf>
    <xf numFmtId="0" fontId="83" fillId="0" borderId="7" xfId="0" applyFont="1" applyBorder="1" applyProtection="1">
      <protection locked="0"/>
    </xf>
    <xf numFmtId="0" fontId="45" fillId="0" borderId="10" xfId="0" applyFont="1" applyBorder="1" applyProtection="1">
      <protection locked="0"/>
    </xf>
    <xf numFmtId="0" fontId="38" fillId="0" borderId="0" xfId="0" applyFont="1" applyBorder="1" applyProtection="1">
      <protection locked="0"/>
    </xf>
    <xf numFmtId="0" fontId="45" fillId="0" borderId="1" xfId="0" applyFont="1" applyBorder="1" applyProtection="1">
      <protection locked="0"/>
    </xf>
    <xf numFmtId="0" fontId="45" fillId="0" borderId="1" xfId="0" applyFont="1" applyBorder="1" applyAlignment="1" applyProtection="1">
      <alignment horizontal="left" indent="1"/>
      <protection locked="0"/>
    </xf>
    <xf numFmtId="0" fontId="45" fillId="0" borderId="0" xfId="0" applyFont="1" applyBorder="1" applyAlignment="1" applyProtection="1">
      <alignment horizontal="left" indent="1"/>
      <protection locked="0"/>
    </xf>
    <xf numFmtId="0" fontId="45" fillId="0" borderId="4" xfId="0" applyFont="1" applyBorder="1" applyAlignment="1" applyProtection="1">
      <alignment horizontal="left" indent="1"/>
      <protection locked="0"/>
    </xf>
    <xf numFmtId="0" fontId="45" fillId="0" borderId="19" xfId="0" applyFont="1" applyBorder="1" applyAlignment="1" applyProtection="1">
      <alignment horizontal="left" indent="1"/>
      <protection locked="0"/>
    </xf>
    <xf numFmtId="0" fontId="45" fillId="0" borderId="4" xfId="0" applyFont="1" applyFill="1" applyBorder="1" applyAlignment="1" applyProtection="1">
      <alignment horizontal="left" indent="1"/>
      <protection locked="0"/>
    </xf>
    <xf numFmtId="0" fontId="83" fillId="0" borderId="13" xfId="0" applyFont="1" applyBorder="1" applyAlignment="1" applyProtection="1">
      <alignment horizontal="center"/>
      <protection locked="0"/>
    </xf>
    <xf numFmtId="2" fontId="83" fillId="0" borderId="13" xfId="0" applyNumberFormat="1" applyFont="1" applyBorder="1" applyAlignment="1" applyProtection="1">
      <alignment horizontal="center" vertical="center"/>
      <protection locked="0"/>
    </xf>
    <xf numFmtId="0" fontId="45" fillId="0" borderId="5" xfId="0" applyFont="1" applyBorder="1" applyProtection="1">
      <protection locked="0"/>
    </xf>
    <xf numFmtId="49" fontId="45" fillId="0" borderId="5" xfId="0" applyNumberFormat="1" applyFont="1" applyBorder="1" applyAlignment="1" applyProtection="1">
      <alignment vertical="center"/>
      <protection locked="0"/>
    </xf>
    <xf numFmtId="0" fontId="45" fillId="0" borderId="16" xfId="0" applyFont="1" applyBorder="1" applyAlignment="1" applyProtection="1">
      <alignment horizontal="center" vertical="top" wrapText="1"/>
      <protection locked="0"/>
    </xf>
    <xf numFmtId="0" fontId="45" fillId="0" borderId="4" xfId="0" applyNumberFormat="1" applyFont="1" applyBorder="1" applyAlignment="1" applyProtection="1">
      <alignment horizontal="center" vertical="top" wrapText="1"/>
      <protection locked="0"/>
    </xf>
    <xf numFmtId="0" fontId="45" fillId="0" borderId="15" xfId="0" applyNumberFormat="1" applyFont="1" applyBorder="1" applyAlignment="1" applyProtection="1">
      <alignment horizontal="center" vertical="top" wrapText="1"/>
      <protection locked="0"/>
    </xf>
    <xf numFmtId="0" fontId="86" fillId="0" borderId="9" xfId="0" applyFont="1" applyBorder="1" applyProtection="1">
      <protection locked="0"/>
    </xf>
    <xf numFmtId="0" fontId="45" fillId="0" borderId="9" xfId="0" applyFont="1" applyBorder="1" applyProtection="1">
      <protection locked="0"/>
    </xf>
    <xf numFmtId="49" fontId="45" fillId="0" borderId="6" xfId="0" applyNumberFormat="1" applyFont="1" applyBorder="1" applyProtection="1">
      <protection locked="0"/>
    </xf>
    <xf numFmtId="49" fontId="45" fillId="0" borderId="5" xfId="0" applyNumberFormat="1" applyFont="1" applyBorder="1" applyProtection="1">
      <protection locked="0"/>
    </xf>
    <xf numFmtId="49" fontId="45" fillId="0" borderId="9" xfId="0" applyNumberFormat="1" applyFont="1" applyBorder="1" applyProtection="1">
      <protection locked="0"/>
    </xf>
    <xf numFmtId="49" fontId="45" fillId="0" borderId="2" xfId="0" applyNumberFormat="1" applyFont="1" applyBorder="1" applyProtection="1">
      <protection locked="0"/>
    </xf>
    <xf numFmtId="0" fontId="83" fillId="0" borderId="9" xfId="0" applyNumberFormat="1" applyFont="1" applyBorder="1" applyAlignment="1" applyProtection="1">
      <protection locked="0"/>
    </xf>
    <xf numFmtId="0" fontId="83" fillId="0" borderId="6" xfId="0" applyNumberFormat="1" applyFont="1" applyBorder="1" applyAlignment="1" applyProtection="1">
      <protection locked="0"/>
    </xf>
    <xf numFmtId="0" fontId="45" fillId="0" borderId="11" xfId="0" applyFont="1" applyBorder="1" applyAlignment="1" applyProtection="1">
      <alignment horizontal="left"/>
      <protection locked="0"/>
    </xf>
    <xf numFmtId="0" fontId="45" fillId="0" borderId="11" xfId="0" applyFont="1" applyBorder="1" applyAlignment="1" applyProtection="1">
      <alignment horizontal="center"/>
      <protection locked="0"/>
    </xf>
    <xf numFmtId="0" fontId="45" fillId="0" borderId="11" xfId="0" applyFont="1" applyBorder="1" applyAlignment="1" applyProtection="1">
      <protection locked="0"/>
    </xf>
    <xf numFmtId="0" fontId="45" fillId="0" borderId="3" xfId="0" applyFont="1" applyBorder="1" applyAlignment="1" applyProtection="1">
      <alignment horizontal="center"/>
      <protection locked="0"/>
    </xf>
    <xf numFmtId="0" fontId="83" fillId="0" borderId="11" xfId="0" applyNumberFormat="1" applyFont="1" applyBorder="1" applyAlignment="1" applyProtection="1">
      <protection locked="0"/>
    </xf>
    <xf numFmtId="0" fontId="83" fillId="0" borderId="8" xfId="0" applyNumberFormat="1" applyFont="1" applyBorder="1" applyAlignment="1" applyProtection="1">
      <protection locked="0"/>
    </xf>
    <xf numFmtId="0" fontId="45" fillId="0" borderId="51" xfId="0" applyFont="1" applyBorder="1" applyAlignment="1" applyProtection="1">
      <alignment horizontal="left"/>
      <protection locked="0"/>
    </xf>
    <xf numFmtId="0" fontId="45" fillId="0" borderId="51" xfId="0" applyFont="1" applyBorder="1" applyAlignment="1" applyProtection="1">
      <protection locked="0"/>
    </xf>
    <xf numFmtId="0" fontId="45" fillId="0" borderId="52" xfId="0" applyFont="1" applyBorder="1" applyAlignment="1" applyProtection="1">
      <alignment horizontal="center"/>
      <protection locked="0"/>
    </xf>
    <xf numFmtId="0" fontId="83" fillId="0" borderId="51" xfId="0" applyNumberFormat="1" applyFont="1" applyBorder="1" applyAlignment="1" applyProtection="1">
      <protection locked="0"/>
    </xf>
    <xf numFmtId="0" fontId="83" fillId="0" borderId="53" xfId="0" applyNumberFormat="1" applyFont="1" applyBorder="1" applyAlignment="1" applyProtection="1">
      <protection locked="0"/>
    </xf>
    <xf numFmtId="0" fontId="45" fillId="0" borderId="23" xfId="0" applyFont="1" applyBorder="1" applyAlignment="1" applyProtection="1">
      <alignment horizontal="left"/>
      <protection locked="0"/>
    </xf>
    <xf numFmtId="49" fontId="45" fillId="0" borderId="23" xfId="0" applyNumberFormat="1" applyFont="1" applyBorder="1" applyProtection="1">
      <protection locked="0"/>
    </xf>
    <xf numFmtId="49" fontId="45" fillId="0" borderId="20" xfId="0" applyNumberFormat="1" applyFont="1" applyBorder="1" applyAlignment="1" applyProtection="1">
      <alignment horizontal="center"/>
      <protection locked="0"/>
    </xf>
    <xf numFmtId="0" fontId="83" fillId="0" borderId="23" xfId="0" applyNumberFormat="1" applyFont="1" applyBorder="1" applyAlignment="1" applyProtection="1">
      <protection locked="0"/>
    </xf>
    <xf numFmtId="0" fontId="83" fillId="0" borderId="22" xfId="0" applyNumberFormat="1" applyFont="1" applyBorder="1" applyAlignment="1" applyProtection="1">
      <protection locked="0"/>
    </xf>
    <xf numFmtId="49" fontId="45" fillId="0" borderId="2" xfId="0" applyNumberFormat="1" applyFont="1" applyBorder="1" applyAlignment="1" applyProtection="1">
      <protection locked="0"/>
    </xf>
    <xf numFmtId="49" fontId="45" fillId="0" borderId="5" xfId="0" applyNumberFormat="1" applyFont="1" applyBorder="1" applyAlignment="1" applyProtection="1">
      <protection locked="0"/>
    </xf>
    <xf numFmtId="49" fontId="45" fillId="0" borderId="6" xfId="0" applyNumberFormat="1" applyFont="1" applyBorder="1" applyAlignment="1" applyProtection="1">
      <protection locked="0"/>
    </xf>
    <xf numFmtId="0" fontId="45" fillId="0" borderId="17" xfId="0" applyFont="1" applyBorder="1" applyAlignment="1" applyProtection="1">
      <alignment horizontal="center"/>
      <protection locked="0"/>
    </xf>
    <xf numFmtId="0" fontId="45" fillId="0" borderId="3" xfId="0" applyNumberFormat="1" applyFont="1" applyBorder="1" applyAlignment="1" applyProtection="1">
      <alignment horizontal="center"/>
      <protection locked="0"/>
    </xf>
    <xf numFmtId="49" fontId="45" fillId="0" borderId="17" xfId="0" applyNumberFormat="1" applyFont="1" applyBorder="1" applyAlignment="1" applyProtection="1">
      <protection locked="0"/>
    </xf>
    <xf numFmtId="49" fontId="45" fillId="0" borderId="8" xfId="0" applyNumberFormat="1" applyFont="1" applyBorder="1" applyAlignment="1" applyProtection="1">
      <protection locked="0"/>
    </xf>
    <xf numFmtId="49" fontId="45" fillId="0" borderId="54" xfId="0" applyNumberFormat="1" applyFont="1" applyBorder="1" applyAlignment="1" applyProtection="1">
      <protection locked="0"/>
    </xf>
    <xf numFmtId="49" fontId="45" fillId="0" borderId="53" xfId="0" applyNumberFormat="1" applyFont="1" applyBorder="1" applyAlignment="1" applyProtection="1">
      <protection locked="0"/>
    </xf>
    <xf numFmtId="0" fontId="45" fillId="0" borderId="23" xfId="0" applyFont="1" applyBorder="1" applyProtection="1">
      <protection locked="0"/>
    </xf>
    <xf numFmtId="49" fontId="45" fillId="0" borderId="22" xfId="0" applyNumberFormat="1" applyFont="1" applyBorder="1" applyProtection="1">
      <protection locked="0"/>
    </xf>
    <xf numFmtId="49" fontId="45" fillId="0" borderId="21" xfId="0" applyNumberFormat="1" applyFont="1" applyBorder="1" applyProtection="1">
      <protection locked="0"/>
    </xf>
    <xf numFmtId="49" fontId="45" fillId="0" borderId="20" xfId="0" applyNumberFormat="1" applyFont="1" applyBorder="1" applyProtection="1">
      <protection locked="0"/>
    </xf>
    <xf numFmtId="49" fontId="45" fillId="0" borderId="20" xfId="0" applyNumberFormat="1" applyFont="1" applyBorder="1" applyAlignment="1" applyProtection="1">
      <protection locked="0"/>
    </xf>
    <xf numFmtId="49" fontId="45" fillId="0" borderId="21" xfId="0" applyNumberFormat="1" applyFont="1" applyBorder="1" applyAlignment="1" applyProtection="1">
      <protection locked="0"/>
    </xf>
    <xf numFmtId="49" fontId="45" fillId="0" borderId="22" xfId="0" applyNumberFormat="1" applyFont="1" applyBorder="1" applyAlignment="1" applyProtection="1">
      <protection locked="0"/>
    </xf>
    <xf numFmtId="49" fontId="45" fillId="0" borderId="0" xfId="0" applyNumberFormat="1" applyFont="1" applyBorder="1" applyAlignment="1" applyProtection="1">
      <alignment vertical="center"/>
      <protection locked="0"/>
    </xf>
    <xf numFmtId="0" fontId="83" fillId="0" borderId="5" xfId="0" applyFont="1" applyBorder="1" applyAlignment="1" applyProtection="1">
      <alignment horizontal="center" vertical="top" wrapText="1"/>
      <protection locked="0"/>
    </xf>
    <xf numFmtId="0" fontId="83" fillId="0" borderId="0" xfId="0" applyNumberFormat="1" applyFont="1" applyBorder="1" applyAlignment="1" applyProtection="1">
      <alignment horizontal="center"/>
      <protection locked="0"/>
    </xf>
    <xf numFmtId="0" fontId="45" fillId="0" borderId="0" xfId="0" applyFont="1" applyAlignment="1" applyProtection="1">
      <alignment vertical="center"/>
      <protection locked="0"/>
    </xf>
    <xf numFmtId="0" fontId="45" fillId="0" borderId="10" xfId="0" applyFont="1" applyBorder="1" applyAlignment="1" applyProtection="1">
      <alignment horizontal="center" vertical="top" wrapText="1"/>
      <protection locked="0"/>
    </xf>
    <xf numFmtId="0" fontId="45" fillId="0" borderId="0" xfId="0" applyFont="1" applyBorder="1" applyAlignment="1" applyProtection="1">
      <alignment horizontal="center" vertical="top" wrapText="1"/>
      <protection locked="0"/>
    </xf>
    <xf numFmtId="0" fontId="90" fillId="0" borderId="10" xfId="0" applyFont="1" applyBorder="1" applyAlignment="1" applyProtection="1">
      <alignment horizontal="center" vertical="top" wrapText="1"/>
      <protection locked="0"/>
    </xf>
    <xf numFmtId="0" fontId="91" fillId="0" borderId="10" xfId="0" applyFont="1" applyBorder="1" applyAlignment="1" applyProtection="1">
      <alignment horizontal="right" vertical="center"/>
      <protection locked="0"/>
    </xf>
    <xf numFmtId="0" fontId="58" fillId="0" borderId="0" xfId="0" applyFont="1" applyAlignment="1" applyProtection="1">
      <alignment vertical="center"/>
      <protection locked="0"/>
    </xf>
    <xf numFmtId="0" fontId="48" fillId="0" borderId="0" xfId="0" applyFont="1" applyBorder="1" applyAlignment="1" applyProtection="1">
      <alignment vertical="center"/>
      <protection locked="0"/>
    </xf>
    <xf numFmtId="0" fontId="45" fillId="0" borderId="19" xfId="0" applyFont="1" applyBorder="1" applyAlignment="1" applyProtection="1">
      <alignment horizontal="center" vertical="top" wrapText="1"/>
      <protection locked="0"/>
    </xf>
    <xf numFmtId="0" fontId="83" fillId="0" borderId="9" xfId="0" applyFont="1" applyBorder="1" applyProtection="1">
      <protection locked="0"/>
    </xf>
    <xf numFmtId="0" fontId="83" fillId="0" borderId="5" xfId="0" applyFont="1" applyBorder="1" applyProtection="1">
      <protection locked="0"/>
    </xf>
    <xf numFmtId="0" fontId="45" fillId="0" borderId="6" xfId="0" applyFont="1" applyBorder="1" applyProtection="1">
      <protection locked="0"/>
    </xf>
    <xf numFmtId="0" fontId="45" fillId="0" borderId="16" xfId="0" applyFont="1" applyBorder="1" applyProtection="1">
      <protection locked="0"/>
    </xf>
    <xf numFmtId="0" fontId="47" fillId="0" borderId="5" xfId="0" applyFont="1" applyBorder="1" applyProtection="1">
      <protection locked="0"/>
    </xf>
    <xf numFmtId="0" fontId="83" fillId="0" borderId="9" xfId="0" applyFont="1" applyBorder="1" applyAlignment="1" applyProtection="1">
      <protection locked="0"/>
    </xf>
    <xf numFmtId="0" fontId="83" fillId="0" borderId="5" xfId="0" applyFont="1" applyBorder="1" applyAlignment="1" applyProtection="1">
      <protection locked="0"/>
    </xf>
    <xf numFmtId="0" fontId="83" fillId="0" borderId="6" xfId="0" applyFont="1" applyBorder="1" applyAlignment="1" applyProtection="1">
      <protection locked="0"/>
    </xf>
    <xf numFmtId="0" fontId="46" fillId="0" borderId="0" xfId="0" applyFont="1" applyBorder="1" applyAlignment="1" applyProtection="1">
      <alignment horizontal="left"/>
      <protection locked="0"/>
    </xf>
    <xf numFmtId="0" fontId="38" fillId="0" borderId="7" xfId="0" applyFont="1" applyBorder="1" applyProtection="1">
      <protection locked="0"/>
    </xf>
    <xf numFmtId="0" fontId="43" fillId="0" borderId="0" xfId="0" applyFont="1" applyBorder="1" applyProtection="1">
      <protection locked="0"/>
    </xf>
    <xf numFmtId="49" fontId="104" fillId="0" borderId="0" xfId="0" applyNumberFormat="1" applyFont="1" applyBorder="1" applyAlignment="1" applyProtection="1">
      <protection locked="0"/>
    </xf>
    <xf numFmtId="49" fontId="38" fillId="0" borderId="0" xfId="0" applyNumberFormat="1" applyFont="1" applyBorder="1" applyProtection="1">
      <protection locked="0"/>
    </xf>
    <xf numFmtId="49" fontId="104" fillId="0" borderId="19" xfId="0" applyNumberFormat="1" applyFont="1" applyBorder="1" applyAlignment="1" applyProtection="1">
      <protection locked="0"/>
    </xf>
    <xf numFmtId="49" fontId="38" fillId="0" borderId="19" xfId="0" applyNumberFormat="1" applyFont="1" applyBorder="1" applyProtection="1">
      <protection locked="0"/>
    </xf>
    <xf numFmtId="0" fontId="38" fillId="0" borderId="19" xfId="0" applyFont="1" applyBorder="1" applyProtection="1">
      <protection locked="0"/>
    </xf>
    <xf numFmtId="0" fontId="83" fillId="0" borderId="1" xfId="0" applyFont="1" applyBorder="1" applyAlignment="1" applyProtection="1">
      <alignment horizontal="center"/>
    </xf>
    <xf numFmtId="0" fontId="83" fillId="0" borderId="4" xfId="0" applyFont="1" applyBorder="1" applyProtection="1"/>
    <xf numFmtId="0" fontId="83" fillId="0" borderId="2" xfId="0" applyFont="1" applyBorder="1" applyAlignment="1" applyProtection="1">
      <alignment horizontal="center"/>
    </xf>
    <xf numFmtId="0" fontId="83" fillId="0" borderId="6" xfId="0" applyFont="1" applyBorder="1" applyAlignment="1" applyProtection="1">
      <alignment horizontal="center"/>
    </xf>
    <xf numFmtId="0" fontId="83" fillId="0" borderId="15" xfId="0" applyFont="1" applyBorder="1" applyAlignment="1" applyProtection="1">
      <alignment horizontal="center"/>
    </xf>
    <xf numFmtId="0" fontId="83" fillId="0" borderId="15" xfId="0" applyFont="1" applyBorder="1" applyProtection="1"/>
    <xf numFmtId="0" fontId="2" fillId="0" borderId="17" xfId="0" applyFont="1" applyBorder="1" applyProtection="1"/>
    <xf numFmtId="0" fontId="5" fillId="10" borderId="5" xfId="0" applyFont="1" applyFill="1" applyBorder="1" applyAlignment="1" applyProtection="1">
      <alignment horizontal="center"/>
    </xf>
    <xf numFmtId="0" fontId="33" fillId="10" borderId="6" xfId="0" applyFont="1" applyFill="1" applyBorder="1" applyAlignment="1" applyProtection="1">
      <alignment horizontal="center"/>
    </xf>
    <xf numFmtId="0" fontId="5" fillId="10" borderId="2" xfId="0" applyFont="1" applyFill="1" applyBorder="1" applyAlignment="1" applyProtection="1">
      <alignment horizontal="center"/>
    </xf>
    <xf numFmtId="0" fontId="11" fillId="10" borderId="2" xfId="0" applyFont="1" applyFill="1" applyBorder="1" applyAlignment="1" applyProtection="1">
      <alignment horizontal="center"/>
    </xf>
    <xf numFmtId="2" fontId="33" fillId="10" borderId="2" xfId="0" applyNumberFormat="1" applyFont="1" applyFill="1" applyBorder="1" applyAlignment="1" applyProtection="1">
      <alignment horizontal="center"/>
    </xf>
    <xf numFmtId="0" fontId="33" fillId="10" borderId="2" xfId="0" applyFont="1" applyFill="1" applyBorder="1" applyAlignment="1" applyProtection="1">
      <alignment horizontal="center"/>
    </xf>
    <xf numFmtId="0" fontId="5" fillId="10" borderId="10" xfId="0" applyFont="1" applyFill="1" applyBorder="1" applyAlignment="1" applyProtection="1">
      <alignment horizontal="center"/>
    </xf>
    <xf numFmtId="0" fontId="5" fillId="10" borderId="0" xfId="0" applyFont="1" applyFill="1" applyBorder="1" applyAlignment="1" applyProtection="1">
      <alignment horizontal="center"/>
    </xf>
    <xf numFmtId="0" fontId="33" fillId="10" borderId="7" xfId="0" applyFont="1" applyFill="1" applyBorder="1" applyAlignment="1" applyProtection="1">
      <alignment horizontal="center"/>
    </xf>
    <xf numFmtId="0" fontId="10" fillId="10" borderId="1" xfId="0" applyFont="1" applyFill="1" applyBorder="1" applyAlignment="1" applyProtection="1">
      <alignment horizontal="center" vertical="center" wrapText="1"/>
    </xf>
    <xf numFmtId="0" fontId="11" fillId="10" borderId="1" xfId="0" applyFont="1" applyFill="1" applyBorder="1" applyAlignment="1" applyProtection="1">
      <alignment horizontal="center" vertical="center" wrapText="1"/>
    </xf>
    <xf numFmtId="2" fontId="33" fillId="10" borderId="1" xfId="0" applyNumberFormat="1" applyFont="1" applyFill="1" applyBorder="1" applyAlignment="1" applyProtection="1">
      <alignment horizontal="center"/>
    </xf>
    <xf numFmtId="0" fontId="33" fillId="10" borderId="1" xfId="0" applyFont="1" applyFill="1" applyBorder="1" applyAlignment="1" applyProtection="1">
      <alignment horizontal="center"/>
    </xf>
    <xf numFmtId="0" fontId="33" fillId="10" borderId="10" xfId="0" applyFont="1" applyFill="1" applyBorder="1" applyAlignment="1" applyProtection="1">
      <alignment horizontal="center"/>
    </xf>
    <xf numFmtId="0" fontId="2" fillId="10" borderId="7" xfId="0" applyFont="1" applyFill="1" applyBorder="1" applyAlignment="1" applyProtection="1"/>
    <xf numFmtId="0" fontId="5" fillId="10" borderId="16" xfId="0" applyFont="1" applyFill="1" applyBorder="1" applyAlignment="1" applyProtection="1">
      <alignment horizontal="center"/>
    </xf>
    <xf numFmtId="0" fontId="5" fillId="10" borderId="19" xfId="0" applyFont="1" applyFill="1" applyBorder="1" applyAlignment="1" applyProtection="1">
      <alignment horizontal="center"/>
    </xf>
    <xf numFmtId="0" fontId="33" fillId="10" borderId="19" xfId="0" applyFont="1" applyFill="1" applyBorder="1" applyAlignment="1" applyProtection="1">
      <alignment horizontal="center"/>
    </xf>
    <xf numFmtId="0" fontId="69" fillId="10" borderId="4" xfId="0" applyFont="1" applyFill="1" applyBorder="1" applyAlignment="1" applyProtection="1">
      <alignment horizontal="center" vertical="center" wrapText="1"/>
    </xf>
    <xf numFmtId="2" fontId="72" fillId="10" borderId="4" xfId="0" applyNumberFormat="1" applyFont="1" applyFill="1" applyBorder="1" applyAlignment="1" applyProtection="1">
      <alignment horizontal="left"/>
    </xf>
    <xf numFmtId="2" fontId="33" fillId="10" borderId="4" xfId="0" applyNumberFormat="1" applyFont="1" applyFill="1" applyBorder="1" applyAlignment="1" applyProtection="1">
      <alignment horizontal="center"/>
    </xf>
    <xf numFmtId="0" fontId="33" fillId="10" borderId="4" xfId="0" applyFont="1" applyFill="1" applyBorder="1" applyAlignment="1" applyProtection="1">
      <alignment horizontal="center"/>
    </xf>
    <xf numFmtId="0" fontId="33" fillId="10" borderId="16" xfId="0" applyFont="1" applyFill="1" applyBorder="1" applyAlignment="1" applyProtection="1">
      <alignment horizontal="center"/>
    </xf>
    <xf numFmtId="0" fontId="2" fillId="10" borderId="15" xfId="0" applyFont="1" applyFill="1" applyBorder="1" applyAlignment="1" applyProtection="1"/>
    <xf numFmtId="0" fontId="5" fillId="10" borderId="0" xfId="0" applyFont="1" applyFill="1" applyBorder="1" applyAlignment="1" applyProtection="1">
      <alignment horizontal="left"/>
    </xf>
    <xf numFmtId="0" fontId="33" fillId="10" borderId="0" xfId="0" applyFont="1" applyFill="1" applyBorder="1" applyAlignment="1" applyProtection="1">
      <alignment horizontal="center"/>
    </xf>
    <xf numFmtId="0" fontId="69" fillId="10" borderId="1" xfId="0" applyFont="1" applyFill="1" applyBorder="1" applyAlignment="1" applyProtection="1">
      <alignment horizontal="center" vertical="center" wrapText="1"/>
    </xf>
    <xf numFmtId="0" fontId="2" fillId="10" borderId="2" xfId="0" applyFont="1" applyFill="1" applyBorder="1" applyAlignment="1" applyProtection="1"/>
    <xf numFmtId="0" fontId="2" fillId="10" borderId="5" xfId="0" applyFont="1" applyFill="1" applyBorder="1" applyProtection="1"/>
    <xf numFmtId="0" fontId="2" fillId="10" borderId="1" xfId="0" applyFont="1" applyFill="1" applyBorder="1" applyAlignment="1" applyProtection="1"/>
    <xf numFmtId="0" fontId="2" fillId="10" borderId="0" xfId="0" applyFont="1" applyFill="1" applyBorder="1" applyProtection="1"/>
    <xf numFmtId="0" fontId="5" fillId="10" borderId="0" xfId="0" applyFont="1" applyFill="1" applyBorder="1" applyProtection="1"/>
    <xf numFmtId="0" fontId="108" fillId="10" borderId="2" xfId="0" applyFont="1" applyFill="1" applyBorder="1" applyAlignment="1" applyProtection="1">
      <alignment horizontal="center"/>
    </xf>
    <xf numFmtId="2" fontId="108" fillId="10" borderId="2" xfId="0" applyNumberFormat="1" applyFont="1" applyFill="1" applyBorder="1" applyAlignment="1" applyProtection="1">
      <alignment horizontal="center"/>
    </xf>
    <xf numFmtId="2" fontId="108" fillId="10" borderId="1" xfId="0" applyNumberFormat="1" applyFont="1" applyFill="1" applyBorder="1" applyAlignment="1" applyProtection="1">
      <alignment horizontal="center"/>
    </xf>
    <xf numFmtId="0" fontId="108" fillId="10" borderId="1" xfId="0" applyFont="1" applyFill="1" applyBorder="1" applyAlignment="1" applyProtection="1">
      <alignment horizontal="center"/>
    </xf>
    <xf numFmtId="0" fontId="2" fillId="0" borderId="16" xfId="1" applyFont="1" applyFill="1" applyBorder="1" applyAlignment="1" applyProtection="1">
      <alignment vertical="center"/>
    </xf>
    <xf numFmtId="2" fontId="2" fillId="0" borderId="19" xfId="0" applyNumberFormat="1" applyFont="1" applyFill="1" applyBorder="1" applyAlignment="1" applyProtection="1">
      <alignment horizontal="center" vertical="center"/>
    </xf>
    <xf numFmtId="189" fontId="27" fillId="0" borderId="1" xfId="0" applyNumberFormat="1" applyFont="1" applyBorder="1" applyAlignment="1" applyProtection="1">
      <alignment horizontal="left"/>
    </xf>
    <xf numFmtId="2" fontId="7" fillId="0" borderId="19" xfId="0" applyNumberFormat="1" applyFont="1" applyFill="1" applyBorder="1" applyAlignment="1" applyProtection="1">
      <alignment horizontal="center" vertical="center"/>
    </xf>
    <xf numFmtId="2" fontId="7" fillId="0" borderId="15" xfId="0" applyNumberFormat="1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/>
    </xf>
    <xf numFmtId="0" fontId="5" fillId="0" borderId="5" xfId="0" applyFont="1" applyFill="1" applyBorder="1" applyAlignment="1" applyProtection="1">
      <alignment horizontal="center"/>
    </xf>
    <xf numFmtId="0" fontId="33" fillId="0" borderId="6" xfId="0" applyFont="1" applyFill="1" applyBorder="1" applyAlignment="1" applyProtection="1">
      <alignment horizontal="center"/>
    </xf>
    <xf numFmtId="0" fontId="11" fillId="0" borderId="2" xfId="0" applyFont="1" applyFill="1" applyBorder="1" applyAlignment="1" applyProtection="1">
      <alignment horizontal="center"/>
    </xf>
    <xf numFmtId="0" fontId="33" fillId="0" borderId="7" xfId="0" applyFont="1" applyFill="1" applyBorder="1" applyAlignment="1" applyProtection="1">
      <alignment horizont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/>
    <xf numFmtId="0" fontId="5" fillId="0" borderId="1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/>
    <xf numFmtId="0" fontId="45" fillId="0" borderId="0" xfId="4" applyFont="1"/>
    <xf numFmtId="0" fontId="60" fillId="0" borderId="0" xfId="4" applyFont="1"/>
    <xf numFmtId="0" fontId="48" fillId="0" borderId="0" xfId="4" applyFont="1" applyBorder="1" applyAlignment="1">
      <alignment vertical="top" wrapText="1"/>
    </xf>
    <xf numFmtId="0" fontId="45" fillId="0" borderId="13" xfId="4" applyFont="1" applyBorder="1" applyAlignment="1">
      <alignment horizontal="center" vertical="top" wrapText="1"/>
    </xf>
    <xf numFmtId="0" fontId="45" fillId="0" borderId="13" xfId="4" applyFont="1" applyBorder="1"/>
    <xf numFmtId="0" fontId="45" fillId="0" borderId="14" xfId="4" applyFont="1" applyBorder="1" applyAlignment="1">
      <alignment horizontal="center"/>
    </xf>
    <xf numFmtId="0" fontId="45" fillId="0" borderId="1" xfId="4" applyFont="1" applyBorder="1" applyAlignment="1">
      <alignment horizontal="left" vertical="top" wrapText="1"/>
    </xf>
    <xf numFmtId="0" fontId="45" fillId="0" borderId="1" xfId="4" applyFont="1" applyBorder="1"/>
    <xf numFmtId="0" fontId="45" fillId="0" borderId="0" xfId="4" applyFont="1" applyBorder="1" applyAlignment="1">
      <alignment horizontal="right"/>
    </xf>
    <xf numFmtId="0" fontId="45" fillId="0" borderId="7" xfId="4" applyFont="1" applyBorder="1"/>
    <xf numFmtId="0" fontId="45" fillId="0" borderId="1" xfId="4" applyFont="1" applyBorder="1" applyAlignment="1"/>
    <xf numFmtId="2" fontId="45" fillId="0" borderId="7" xfId="4" applyNumberFormat="1" applyFont="1" applyBorder="1" applyAlignment="1">
      <alignment horizontal="left"/>
    </xf>
    <xf numFmtId="0" fontId="45" fillId="0" borderId="7" xfId="4" applyFont="1" applyBorder="1" applyAlignment="1">
      <alignment horizontal="left"/>
    </xf>
    <xf numFmtId="0" fontId="45" fillId="0" borderId="4" xfId="4" applyFont="1" applyBorder="1" applyAlignment="1">
      <alignment horizontal="left" vertical="top" wrapText="1"/>
    </xf>
    <xf numFmtId="0" fontId="45" fillId="0" borderId="4" xfId="4" applyFont="1" applyBorder="1" applyAlignment="1"/>
    <xf numFmtId="0" fontId="45" fillId="0" borderId="16" xfId="4" applyFont="1" applyBorder="1" applyAlignment="1">
      <alignment horizontal="right"/>
    </xf>
    <xf numFmtId="2" fontId="45" fillId="0" borderId="15" xfId="4" applyNumberFormat="1" applyFont="1" applyBorder="1" applyAlignment="1">
      <alignment horizontal="left"/>
    </xf>
    <xf numFmtId="0" fontId="45" fillId="0" borderId="5" xfId="4" applyFont="1" applyBorder="1" applyAlignment="1">
      <alignment horizontal="left" vertical="top" wrapText="1"/>
    </xf>
    <xf numFmtId="0" fontId="45" fillId="0" borderId="5" xfId="4" applyFont="1" applyBorder="1" applyAlignment="1"/>
    <xf numFmtId="0" fontId="45" fillId="0" borderId="5" xfId="4" applyFont="1" applyBorder="1" applyAlignment="1">
      <alignment horizontal="right"/>
    </xf>
    <xf numFmtId="2" fontId="45" fillId="0" borderId="5" xfId="4" applyNumberFormat="1" applyFont="1" applyBorder="1" applyAlignment="1">
      <alignment horizontal="left"/>
    </xf>
    <xf numFmtId="0" fontId="45" fillId="0" borderId="13" xfId="4" applyFont="1" applyBorder="1" applyAlignment="1">
      <alignment horizontal="center"/>
    </xf>
    <xf numFmtId="0" fontId="45" fillId="0" borderId="1" xfId="4" applyFont="1" applyBorder="1" applyAlignment="1">
      <alignment vertical="top" wrapText="1"/>
    </xf>
    <xf numFmtId="0" fontId="45" fillId="0" borderId="10" xfId="4" applyFont="1" applyBorder="1" applyAlignment="1">
      <alignment horizontal="center"/>
    </xf>
    <xf numFmtId="0" fontId="45" fillId="0" borderId="1" xfId="4" applyFont="1" applyBorder="1" applyAlignment="1">
      <alignment horizontal="center"/>
    </xf>
    <xf numFmtId="0" fontId="45" fillId="0" borderId="1" xfId="4" applyFont="1" applyBorder="1" applyAlignment="1">
      <alignment horizontal="right"/>
    </xf>
    <xf numFmtId="0" fontId="45" fillId="0" borderId="4" xfId="4" applyFont="1" applyBorder="1" applyAlignment="1">
      <alignment vertical="top" wrapText="1"/>
    </xf>
    <xf numFmtId="0" fontId="45" fillId="0" borderId="16" xfId="4" applyFont="1" applyBorder="1" applyAlignment="1">
      <alignment horizontal="center" vertical="top"/>
    </xf>
    <xf numFmtId="0" fontId="45" fillId="0" borderId="4" xfId="4" applyFont="1" applyBorder="1" applyAlignment="1">
      <alignment horizontal="center" vertical="top"/>
    </xf>
    <xf numFmtId="0" fontId="45" fillId="0" borderId="4" xfId="4" applyFont="1" applyBorder="1" applyAlignment="1">
      <alignment horizontal="right"/>
    </xf>
    <xf numFmtId="0" fontId="48" fillId="0" borderId="55" xfId="4" applyFont="1" applyBorder="1" applyAlignment="1">
      <alignment vertical="top" wrapText="1"/>
    </xf>
    <xf numFmtId="0" fontId="48" fillId="0" borderId="12" xfId="4" applyFont="1" applyBorder="1" applyAlignment="1">
      <alignment horizontal="center"/>
    </xf>
    <xf numFmtId="0" fontId="48" fillId="0" borderId="18" xfId="4" applyFont="1" applyBorder="1"/>
    <xf numFmtId="0" fontId="58" fillId="0" borderId="0" xfId="4" applyFont="1"/>
    <xf numFmtId="0" fontId="48" fillId="0" borderId="56" xfId="4" applyFont="1" applyBorder="1" applyAlignment="1">
      <alignment vertical="top" wrapText="1"/>
    </xf>
    <xf numFmtId="2" fontId="48" fillId="0" borderId="7" xfId="4" applyNumberFormat="1" applyFont="1" applyBorder="1" applyAlignment="1">
      <alignment horizontal="center"/>
    </xf>
    <xf numFmtId="0" fontId="48" fillId="0" borderId="5" xfId="4" applyFont="1" applyBorder="1"/>
    <xf numFmtId="2" fontId="48" fillId="0" borderId="57" xfId="4" applyNumberFormat="1" applyFont="1" applyBorder="1" applyAlignment="1">
      <alignment horizontal="center"/>
    </xf>
    <xf numFmtId="0" fontId="48" fillId="0" borderId="58" xfId="4" applyFont="1" applyBorder="1" applyAlignment="1">
      <alignment vertical="top" wrapText="1"/>
    </xf>
    <xf numFmtId="0" fontId="48" fillId="0" borderId="0" xfId="4" applyFont="1" applyBorder="1"/>
    <xf numFmtId="2" fontId="48" fillId="0" borderId="59" xfId="4" applyNumberFormat="1" applyFont="1" applyBorder="1" applyAlignment="1">
      <alignment horizontal="center"/>
    </xf>
    <xf numFmtId="0" fontId="48" fillId="0" borderId="60" xfId="4" applyFont="1" applyBorder="1" applyAlignment="1">
      <alignment vertical="top" wrapText="1"/>
    </xf>
    <xf numFmtId="0" fontId="48" fillId="0" borderId="7" xfId="4" applyFont="1" applyBorder="1" applyAlignment="1">
      <alignment vertical="top" wrapText="1"/>
    </xf>
    <xf numFmtId="0" fontId="48" fillId="0" borderId="61" xfId="4" applyFont="1" applyBorder="1"/>
    <xf numFmtId="0" fontId="48" fillId="0" borderId="14" xfId="4" quotePrefix="1" applyFont="1" applyBorder="1"/>
    <xf numFmtId="0" fontId="48" fillId="0" borderId="12" xfId="4" applyFont="1" applyBorder="1"/>
    <xf numFmtId="0" fontId="48" fillId="0" borderId="0" xfId="4" applyFont="1" applyBorder="1" applyAlignment="1"/>
    <xf numFmtId="0" fontId="59" fillId="0" borderId="0" xfId="4" applyFont="1" applyBorder="1" applyAlignment="1">
      <alignment vertical="top"/>
    </xf>
    <xf numFmtId="0" fontId="48" fillId="0" borderId="13" xfId="4" applyFont="1" applyBorder="1" applyAlignment="1">
      <alignment horizontal="center"/>
    </xf>
    <xf numFmtId="0" fontId="48" fillId="0" borderId="1" xfId="4" applyFont="1" applyBorder="1" applyAlignment="1">
      <alignment horizontal="center"/>
    </xf>
    <xf numFmtId="0" fontId="48" fillId="0" borderId="4" xfId="4" applyFont="1" applyBorder="1" applyAlignment="1">
      <alignment horizontal="center"/>
    </xf>
    <xf numFmtId="0" fontId="48" fillId="0" borderId="0" xfId="4" applyFont="1"/>
    <xf numFmtId="0" fontId="45" fillId="0" borderId="0" xfId="4" applyFont="1" applyBorder="1" applyAlignment="1">
      <alignment vertical="top" wrapText="1"/>
    </xf>
    <xf numFmtId="0" fontId="45" fillId="0" borderId="0" xfId="4" applyFont="1" applyBorder="1"/>
    <xf numFmtId="0" fontId="39" fillId="0" borderId="0" xfId="4" applyFont="1" applyBorder="1" applyAlignment="1">
      <alignment vertical="top" wrapText="1"/>
    </xf>
    <xf numFmtId="0" fontId="2" fillId="0" borderId="1" xfId="0" applyFont="1" applyFill="1" applyBorder="1" applyAlignment="1" applyProtection="1">
      <alignment horizontal="center"/>
    </xf>
    <xf numFmtId="0" fontId="56" fillId="0" borderId="0" xfId="4" applyFont="1"/>
    <xf numFmtId="0" fontId="38" fillId="0" borderId="0" xfId="4" applyFont="1" applyFill="1"/>
    <xf numFmtId="0" fontId="38" fillId="0" borderId="0" xfId="4" applyFont="1" applyBorder="1"/>
    <xf numFmtId="0" fontId="38" fillId="0" borderId="0" xfId="4" applyFont="1"/>
    <xf numFmtId="0" fontId="38" fillId="0" borderId="0" xfId="4" applyFont="1" applyAlignment="1">
      <alignment horizontal="center"/>
    </xf>
    <xf numFmtId="0" fontId="38" fillId="0" borderId="19" xfId="4" applyFont="1" applyFill="1" applyBorder="1" applyAlignment="1">
      <alignment horizontal="centerContinuous"/>
    </xf>
    <xf numFmtId="0" fontId="38" fillId="0" borderId="19" xfId="4" applyFont="1" applyBorder="1" applyAlignment="1">
      <alignment horizontal="centerContinuous"/>
    </xf>
    <xf numFmtId="0" fontId="45" fillId="0" borderId="19" xfId="4" applyFont="1" applyBorder="1" applyAlignment="1">
      <alignment horizontal="centerContinuous"/>
    </xf>
    <xf numFmtId="0" fontId="39" fillId="0" borderId="9" xfId="4" applyFont="1" applyFill="1" applyBorder="1" applyAlignment="1">
      <alignment horizontal="center"/>
    </xf>
    <xf numFmtId="0" fontId="39" fillId="0" borderId="6" xfId="4" applyFont="1" applyFill="1" applyBorder="1" applyAlignment="1">
      <alignment horizontal="center"/>
    </xf>
    <xf numFmtId="0" fontId="39" fillId="0" borderId="14" xfId="4" applyFont="1" applyFill="1" applyBorder="1" applyAlignment="1">
      <alignment horizontal="center"/>
    </xf>
    <xf numFmtId="0" fontId="39" fillId="0" borderId="12" xfId="4" applyFont="1" applyFill="1" applyBorder="1" applyAlignment="1">
      <alignment horizontal="center"/>
    </xf>
    <xf numFmtId="0" fontId="39" fillId="0" borderId="2" xfId="4" applyFont="1" applyBorder="1" applyAlignment="1">
      <alignment horizontal="center"/>
    </xf>
    <xf numFmtId="0" fontId="45" fillId="0" borderId="16" xfId="4" quotePrefix="1" applyFont="1" applyFill="1" applyBorder="1" applyAlignment="1">
      <alignment horizontal="center"/>
    </xf>
    <xf numFmtId="0" fontId="45" fillId="0" borderId="15" xfId="4" quotePrefix="1" applyFont="1" applyFill="1" applyBorder="1" applyAlignment="1">
      <alignment horizontal="center"/>
    </xf>
    <xf numFmtId="0" fontId="39" fillId="0" borderId="13" xfId="4" applyFont="1" applyFill="1" applyBorder="1" applyAlignment="1">
      <alignment horizontal="center"/>
    </xf>
    <xf numFmtId="0" fontId="45" fillId="0" borderId="4" xfId="4" applyFont="1" applyBorder="1"/>
    <xf numFmtId="0" fontId="61" fillId="0" borderId="9" xfId="4" applyFont="1" applyFill="1" applyBorder="1"/>
    <xf numFmtId="0" fontId="38" fillId="0" borderId="6" xfId="4" applyFont="1" applyFill="1" applyBorder="1"/>
    <xf numFmtId="0" fontId="38" fillId="0" borderId="2" xfId="4" applyFont="1" applyFill="1" applyBorder="1"/>
    <xf numFmtId="0" fontId="38" fillId="0" borderId="6" xfId="4" applyFont="1" applyFill="1" applyBorder="1" applyAlignment="1">
      <alignment horizontal="center" vertical="top"/>
    </xf>
    <xf numFmtId="0" fontId="39" fillId="0" borderId="10" xfId="4" applyFont="1" applyFill="1" applyBorder="1"/>
    <xf numFmtId="0" fontId="38" fillId="0" borderId="7" xfId="4" applyFont="1" applyFill="1" applyBorder="1"/>
    <xf numFmtId="0" fontId="38" fillId="0" borderId="1" xfId="4" applyFont="1" applyFill="1" applyBorder="1"/>
    <xf numFmtId="0" fontId="38" fillId="0" borderId="7" xfId="4" applyFont="1" applyFill="1" applyBorder="1" applyAlignment="1">
      <alignment horizontal="center" vertical="top"/>
    </xf>
    <xf numFmtId="0" fontId="38" fillId="0" borderId="10" xfId="4" applyFont="1" applyFill="1" applyBorder="1"/>
    <xf numFmtId="0" fontId="39" fillId="0" borderId="0" xfId="4" applyFont="1" applyFill="1" applyBorder="1"/>
    <xf numFmtId="188" fontId="38" fillId="0" borderId="7" xfId="4" applyNumberFormat="1" applyFont="1" applyFill="1" applyBorder="1" applyAlignment="1">
      <alignment horizontal="center"/>
    </xf>
    <xf numFmtId="0" fontId="38" fillId="0" borderId="7" xfId="4" applyFont="1" applyFill="1" applyBorder="1" applyAlignment="1">
      <alignment vertical="top" wrapText="1"/>
    </xf>
    <xf numFmtId="0" fontId="38" fillId="0" borderId="1" xfId="4" applyFont="1" applyFill="1" applyBorder="1" applyAlignment="1">
      <alignment vertical="top"/>
    </xf>
    <xf numFmtId="188" fontId="38" fillId="0" borderId="7" xfId="4" applyNumberFormat="1" applyFont="1" applyFill="1" applyBorder="1" applyAlignment="1">
      <alignment horizontal="center" vertical="top"/>
    </xf>
    <xf numFmtId="0" fontId="38" fillId="0" borderId="7" xfId="4" quotePrefix="1" applyFont="1" applyFill="1" applyBorder="1" applyAlignment="1">
      <alignment vertical="top" wrapText="1"/>
    </xf>
    <xf numFmtId="0" fontId="38" fillId="0" borderId="10" xfId="4" applyFont="1" applyFill="1" applyBorder="1" applyAlignment="1">
      <alignment vertical="top"/>
    </xf>
    <xf numFmtId="0" fontId="38" fillId="0" borderId="7" xfId="4" applyFont="1" applyFill="1" applyBorder="1" applyAlignment="1">
      <alignment vertical="top"/>
    </xf>
    <xf numFmtId="2" fontId="38" fillId="0" borderId="7" xfId="4" applyNumberFormat="1" applyFont="1" applyFill="1" applyBorder="1" applyAlignment="1">
      <alignment horizontal="center" vertical="top"/>
    </xf>
    <xf numFmtId="0" fontId="45" fillId="0" borderId="7" xfId="4" applyFont="1" applyFill="1" applyBorder="1" applyAlignment="1">
      <alignment horizontal="left" vertical="top" wrapText="1"/>
    </xf>
    <xf numFmtId="0" fontId="48" fillId="0" borderId="7" xfId="4" applyFont="1" applyFill="1" applyBorder="1" applyAlignment="1">
      <alignment vertical="top" wrapText="1"/>
    </xf>
    <xf numFmtId="0" fontId="38" fillId="0" borderId="1" xfId="4" applyFont="1" applyFill="1" applyBorder="1" applyAlignment="1">
      <alignment vertical="top" wrapText="1"/>
    </xf>
    <xf numFmtId="188" fontId="38" fillId="0" borderId="1" xfId="4" applyNumberFormat="1" applyFont="1" applyFill="1" applyBorder="1" applyAlignment="1">
      <alignment horizontal="left" vertical="top" wrapText="1"/>
    </xf>
    <xf numFmtId="188" fontId="48" fillId="0" borderId="1" xfId="4" applyNumberFormat="1" applyFont="1" applyFill="1" applyBorder="1" applyAlignment="1">
      <alignment horizontal="left" vertical="top" wrapText="1"/>
    </xf>
    <xf numFmtId="0" fontId="38" fillId="0" borderId="7" xfId="4" applyFont="1" applyBorder="1" applyAlignment="1">
      <alignment vertical="center" wrapText="1"/>
    </xf>
    <xf numFmtId="0" fontId="38" fillId="0" borderId="7" xfId="4" quotePrefix="1" applyFont="1" applyFill="1" applyBorder="1" applyAlignment="1">
      <alignment vertical="top"/>
    </xf>
    <xf numFmtId="0" fontId="38" fillId="0" borderId="0" xfId="4" applyFont="1" applyFill="1" applyBorder="1" applyAlignment="1"/>
    <xf numFmtId="0" fontId="38" fillId="0" borderId="7" xfId="4" applyFont="1" applyFill="1" applyBorder="1" applyAlignment="1">
      <alignment vertical="center" wrapText="1"/>
    </xf>
    <xf numFmtId="0" fontId="38" fillId="0" borderId="1" xfId="4" applyFont="1" applyFill="1" applyBorder="1" applyAlignment="1"/>
    <xf numFmtId="188" fontId="38" fillId="0" borderId="7" xfId="4" applyNumberFormat="1" applyFont="1" applyFill="1" applyBorder="1" applyAlignment="1">
      <alignment horizontal="center" vertical="center"/>
    </xf>
    <xf numFmtId="0" fontId="38" fillId="0" borderId="7" xfId="4" applyFont="1" applyFill="1" applyBorder="1" applyAlignment="1">
      <alignment horizontal="left" vertical="center" wrapText="1"/>
    </xf>
    <xf numFmtId="188" fontId="38" fillId="0" borderId="7" xfId="4" quotePrefix="1" applyNumberFormat="1" applyFont="1" applyFill="1" applyBorder="1" applyAlignment="1">
      <alignment horizontal="center" vertical="top"/>
    </xf>
    <xf numFmtId="0" fontId="45" fillId="0" borderId="7" xfId="4" applyFont="1" applyFill="1" applyBorder="1" applyAlignment="1">
      <alignment vertical="top" wrapText="1"/>
    </xf>
    <xf numFmtId="188" fontId="48" fillId="0" borderId="7" xfId="4" applyNumberFormat="1" applyFont="1" applyFill="1" applyBorder="1" applyAlignment="1">
      <alignment horizontal="left" vertical="top" wrapText="1"/>
    </xf>
    <xf numFmtId="0" fontId="39" fillId="14" borderId="10" xfId="4" applyFont="1" applyFill="1" applyBorder="1"/>
    <xf numFmtId="0" fontId="38" fillId="14" borderId="7" xfId="4" applyFont="1" applyFill="1" applyBorder="1"/>
    <xf numFmtId="0" fontId="38" fillId="6" borderId="1" xfId="4" applyFont="1" applyFill="1" applyBorder="1"/>
    <xf numFmtId="188" fontId="38" fillId="6" borderId="7" xfId="4" applyNumberFormat="1" applyFont="1" applyFill="1" applyBorder="1" applyAlignment="1">
      <alignment horizontal="center"/>
    </xf>
    <xf numFmtId="0" fontId="45" fillId="6" borderId="7" xfId="4" applyFont="1" applyFill="1" applyBorder="1" applyAlignment="1">
      <alignment vertical="top" wrapText="1"/>
    </xf>
    <xf numFmtId="0" fontId="38" fillId="6" borderId="10" xfId="4" applyFont="1" applyFill="1" applyBorder="1" applyAlignment="1">
      <alignment vertical="top"/>
    </xf>
    <xf numFmtId="0" fontId="39" fillId="6" borderId="7" xfId="4" applyFont="1" applyFill="1" applyBorder="1" applyAlignment="1">
      <alignment vertical="top"/>
    </xf>
    <xf numFmtId="0" fontId="38" fillId="6" borderId="1" xfId="4" applyFont="1" applyFill="1" applyBorder="1" applyAlignment="1">
      <alignment vertical="top"/>
    </xf>
    <xf numFmtId="188" fontId="38" fillId="6" borderId="7" xfId="4" applyNumberFormat="1" applyFont="1" applyFill="1" applyBorder="1" applyAlignment="1">
      <alignment horizontal="center" vertical="top"/>
    </xf>
    <xf numFmtId="0" fontId="38" fillId="6" borderId="7" xfId="4" applyFont="1" applyFill="1" applyBorder="1" applyAlignment="1">
      <alignment horizontal="left" vertical="top" wrapText="1"/>
    </xf>
    <xf numFmtId="0" fontId="38" fillId="6" borderId="7" xfId="4" applyFont="1" applyFill="1" applyBorder="1" applyAlignment="1">
      <alignment vertical="top"/>
    </xf>
    <xf numFmtId="0" fontId="38" fillId="6" borderId="7" xfId="4" applyFont="1" applyFill="1" applyBorder="1" applyAlignment="1">
      <alignment vertical="top" wrapText="1"/>
    </xf>
    <xf numFmtId="0" fontId="38" fillId="6" borderId="10" xfId="4" applyFont="1" applyFill="1" applyBorder="1"/>
    <xf numFmtId="0" fontId="38" fillId="6" borderId="1" xfId="4" applyFont="1" applyFill="1" applyBorder="1" applyAlignment="1">
      <alignment vertical="top" wrapText="1"/>
    </xf>
    <xf numFmtId="188" fontId="38" fillId="6" borderId="1" xfId="4" applyNumberFormat="1" applyFont="1" applyFill="1" applyBorder="1" applyAlignment="1">
      <alignment horizontal="left" vertical="top" wrapText="1"/>
    </xf>
    <xf numFmtId="188" fontId="48" fillId="6" borderId="1" xfId="4" applyNumberFormat="1" applyFont="1" applyFill="1" applyBorder="1" applyAlignment="1">
      <alignment horizontal="left" vertical="top" wrapText="1"/>
    </xf>
    <xf numFmtId="0" fontId="45" fillId="6" borderId="7" xfId="4" applyFont="1" applyFill="1" applyBorder="1" applyAlignment="1">
      <alignment vertical="center" wrapText="1"/>
    </xf>
    <xf numFmtId="2" fontId="38" fillId="6" borderId="7" xfId="4" applyNumberFormat="1" applyFont="1" applyFill="1" applyBorder="1" applyAlignment="1">
      <alignment horizontal="center" vertical="top"/>
    </xf>
    <xf numFmtId="0" fontId="38" fillId="6" borderId="7" xfId="4" applyFont="1" applyFill="1" applyBorder="1" applyAlignment="1">
      <alignment horizontal="left" wrapText="1"/>
    </xf>
    <xf numFmtId="188" fontId="38" fillId="0" borderId="7" xfId="4" applyNumberFormat="1" applyFont="1" applyFill="1" applyBorder="1" applyAlignment="1">
      <alignment horizontal="center" vertical="top" wrapText="1"/>
    </xf>
    <xf numFmtId="0" fontId="38" fillId="0" borderId="7" xfId="4" applyFont="1" applyFill="1" applyBorder="1" applyAlignment="1">
      <alignment horizontal="center"/>
    </xf>
    <xf numFmtId="0" fontId="48" fillId="0" borderId="7" xfId="4" applyFont="1" applyFill="1" applyBorder="1"/>
    <xf numFmtId="0" fontId="38" fillId="0" borderId="1" xfId="4" applyFont="1" applyFill="1" applyBorder="1" applyAlignment="1">
      <alignment horizontal="center" vertical="top"/>
    </xf>
    <xf numFmtId="0" fontId="56" fillId="0" borderId="0" xfId="4" applyFont="1" applyFill="1"/>
    <xf numFmtId="0" fontId="45" fillId="0" borderId="1" xfId="4" applyFont="1" applyFill="1" applyBorder="1"/>
    <xf numFmtId="0" fontId="38" fillId="0" borderId="7" xfId="4" applyFont="1" applyFill="1" applyBorder="1" applyAlignment="1">
      <alignment horizontal="center" vertical="top" wrapText="1"/>
    </xf>
    <xf numFmtId="0" fontId="38" fillId="4" borderId="7" xfId="4" applyFont="1" applyFill="1" applyBorder="1" applyAlignment="1">
      <alignment vertical="top" wrapText="1"/>
    </xf>
    <xf numFmtId="0" fontId="38" fillId="4" borderId="1" xfId="4" applyFont="1" applyFill="1" applyBorder="1" applyAlignment="1">
      <alignment vertical="top"/>
    </xf>
    <xf numFmtId="188" fontId="38" fillId="4" borderId="1" xfId="4" applyNumberFormat="1" applyFont="1" applyFill="1" applyBorder="1" applyAlignment="1">
      <alignment horizontal="center" vertical="top"/>
    </xf>
    <xf numFmtId="0" fontId="38" fillId="0" borderId="0" xfId="4" applyFont="1" applyFill="1" applyBorder="1" applyAlignment="1">
      <alignment vertical="top" wrapText="1"/>
    </xf>
    <xf numFmtId="188" fontId="38" fillId="0" borderId="1" xfId="4" applyNumberFormat="1" applyFont="1" applyFill="1" applyBorder="1" applyAlignment="1">
      <alignment horizontal="center" vertical="top"/>
    </xf>
    <xf numFmtId="0" fontId="38" fillId="0" borderId="0" xfId="4" applyFont="1" applyFill="1" applyBorder="1"/>
    <xf numFmtId="0" fontId="38" fillId="0" borderId="0" xfId="4" quotePrefix="1" applyFont="1" applyFill="1" applyBorder="1" applyAlignment="1">
      <alignment horizontal="center" vertical="top"/>
    </xf>
    <xf numFmtId="188" fontId="38" fillId="0" borderId="1" xfId="4" applyNumberFormat="1" applyFont="1" applyBorder="1" applyAlignment="1">
      <alignment horizontal="center" vertical="top"/>
    </xf>
    <xf numFmtId="0" fontId="38" fillId="0" borderId="1" xfId="4" applyFont="1" applyFill="1" applyBorder="1" applyAlignment="1">
      <alignment horizontal="left" vertical="top" wrapText="1"/>
    </xf>
    <xf numFmtId="0" fontId="48" fillId="0" borderId="1" xfId="4" applyFont="1" applyFill="1" applyBorder="1" applyAlignment="1">
      <alignment vertical="top" wrapText="1"/>
    </xf>
    <xf numFmtId="188" fontId="38" fillId="0" borderId="1" xfId="4" applyNumberFormat="1" applyFont="1" applyFill="1" applyBorder="1" applyAlignment="1">
      <alignment horizontal="center" vertical="top" wrapText="1"/>
    </xf>
    <xf numFmtId="0" fontId="38" fillId="0" borderId="1" xfId="4" applyFont="1" applyBorder="1" applyAlignment="1">
      <alignment vertical="top" wrapText="1"/>
    </xf>
    <xf numFmtId="0" fontId="45" fillId="0" borderId="1" xfId="4" applyFont="1" applyFill="1" applyBorder="1" applyAlignment="1">
      <alignment vertical="top" wrapText="1"/>
    </xf>
    <xf numFmtId="0" fontId="38" fillId="4" borderId="1" xfId="4" applyFont="1" applyFill="1" applyBorder="1" applyAlignment="1">
      <alignment vertical="top" wrapText="1"/>
    </xf>
    <xf numFmtId="0" fontId="48" fillId="4" borderId="1" xfId="4" applyFont="1" applyFill="1" applyBorder="1" applyAlignment="1">
      <alignment vertical="top" wrapText="1"/>
    </xf>
    <xf numFmtId="188" fontId="38" fillId="0" borderId="1" xfId="4" applyNumberFormat="1" applyFont="1" applyBorder="1" applyAlignment="1">
      <alignment horizontal="center" vertical="top" wrapText="1"/>
    </xf>
    <xf numFmtId="0" fontId="45" fillId="0" borderId="7" xfId="4" applyFont="1" applyBorder="1" applyAlignment="1">
      <alignment vertical="top" wrapText="1"/>
    </xf>
    <xf numFmtId="0" fontId="39" fillId="0" borderId="0" xfId="4" applyFont="1" applyFill="1" applyBorder="1" applyAlignment="1">
      <alignment vertical="top" wrapText="1"/>
    </xf>
    <xf numFmtId="0" fontId="38" fillId="0" borderId="1" xfId="4" applyFont="1" applyBorder="1"/>
    <xf numFmtId="0" fontId="38" fillId="0" borderId="7" xfId="4" applyFont="1" applyBorder="1" applyAlignment="1">
      <alignment vertical="top" wrapText="1"/>
    </xf>
    <xf numFmtId="0" fontId="39" fillId="0" borderId="7" xfId="4" applyFont="1" applyFill="1" applyBorder="1" applyAlignment="1">
      <alignment vertical="top" wrapText="1"/>
    </xf>
    <xf numFmtId="0" fontId="39" fillId="0" borderId="7" xfId="4" applyFont="1" applyFill="1" applyBorder="1" applyAlignment="1">
      <alignment vertical="top"/>
    </xf>
    <xf numFmtId="0" fontId="38" fillId="0" borderId="7" xfId="4" applyFont="1" applyFill="1" applyBorder="1" applyAlignment="1">
      <alignment horizontal="left" vertical="top" wrapText="1"/>
    </xf>
    <xf numFmtId="0" fontId="39" fillId="0" borderId="10" xfId="4" applyFont="1" applyFill="1" applyBorder="1" applyAlignment="1"/>
    <xf numFmtId="0" fontId="39" fillId="0" borderId="7" xfId="4" applyFont="1" applyFill="1" applyBorder="1" applyAlignment="1">
      <alignment wrapText="1"/>
    </xf>
    <xf numFmtId="0" fontId="38" fillId="0" borderId="1" xfId="4" applyFont="1" applyFill="1" applyBorder="1" applyAlignment="1">
      <alignment wrapText="1"/>
    </xf>
    <xf numFmtId="0" fontId="38" fillId="0" borderId="1" xfId="4" applyFont="1" applyFill="1" applyBorder="1" applyAlignment="1">
      <alignment horizontal="center" vertical="top" wrapText="1"/>
    </xf>
    <xf numFmtId="0" fontId="38" fillId="0" borderId="0" xfId="4" applyFont="1" applyFill="1" applyBorder="1" applyAlignment="1">
      <alignment vertical="top"/>
    </xf>
    <xf numFmtId="0" fontId="38" fillId="0" borderId="7" xfId="4" applyFont="1" applyFill="1" applyBorder="1" applyAlignment="1">
      <alignment wrapText="1"/>
    </xf>
    <xf numFmtId="188" fontId="46" fillId="0" borderId="1" xfId="4" applyNumberFormat="1" applyFont="1" applyFill="1" applyBorder="1" applyAlignment="1">
      <alignment horizontal="center" vertical="top" wrapText="1"/>
    </xf>
    <xf numFmtId="0" fontId="45" fillId="0" borderId="1" xfId="4" applyFont="1" applyBorder="1" applyAlignment="1">
      <alignment vertical="top"/>
    </xf>
    <xf numFmtId="0" fontId="38" fillId="0" borderId="16" xfId="4" applyFont="1" applyFill="1" applyBorder="1"/>
    <xf numFmtId="0" fontId="38" fillId="0" borderId="19" xfId="4" applyFont="1" applyFill="1" applyBorder="1" applyAlignment="1">
      <alignment vertical="top" wrapText="1"/>
    </xf>
    <xf numFmtId="0" fontId="38" fillId="0" borderId="4" xfId="4" applyFont="1" applyFill="1" applyBorder="1" applyAlignment="1">
      <alignment vertical="top" wrapText="1"/>
    </xf>
    <xf numFmtId="188" fontId="46" fillId="0" borderId="16" xfId="4" applyNumberFormat="1" applyFont="1" applyFill="1" applyBorder="1" applyAlignment="1">
      <alignment horizontal="center" vertical="top" wrapText="1"/>
    </xf>
    <xf numFmtId="0" fontId="45" fillId="0" borderId="4" xfId="4" applyFont="1" applyBorder="1" applyAlignment="1">
      <alignment vertical="top"/>
    </xf>
    <xf numFmtId="0" fontId="39" fillId="0" borderId="0" xfId="4" applyFont="1" applyFill="1"/>
    <xf numFmtId="0" fontId="39" fillId="0" borderId="0" xfId="4" applyFont="1" applyBorder="1"/>
    <xf numFmtId="0" fontId="39" fillId="0" borderId="14" xfId="4" applyFont="1" applyFill="1" applyBorder="1" applyAlignment="1">
      <alignment horizontal="left"/>
    </xf>
    <xf numFmtId="0" fontId="83" fillId="0" borderId="2" xfId="4" applyFont="1" applyBorder="1" applyAlignment="1">
      <alignment horizontal="center"/>
    </xf>
    <xf numFmtId="0" fontId="45" fillId="0" borderId="14" xfId="4" applyFont="1" applyBorder="1"/>
    <xf numFmtId="0" fontId="45" fillId="0" borderId="18" xfId="4" applyFont="1" applyBorder="1"/>
    <xf numFmtId="0" fontId="45" fillId="0" borderId="12" xfId="4" applyFont="1" applyBorder="1"/>
    <xf numFmtId="0" fontId="45" fillId="0" borderId="18" xfId="4" applyFont="1" applyBorder="1" applyAlignment="1">
      <alignment horizontal="right"/>
    </xf>
    <xf numFmtId="0" fontId="45" fillId="0" borderId="62" xfId="4" applyFont="1" applyBorder="1" applyAlignment="1">
      <alignment horizontal="center"/>
    </xf>
    <xf numFmtId="0" fontId="45" fillId="0" borderId="14" xfId="4" applyFont="1" applyBorder="1" applyAlignment="1">
      <alignment horizontal="right"/>
    </xf>
    <xf numFmtId="0" fontId="45" fillId="0" borderId="62" xfId="4" applyFont="1" applyBorder="1" applyAlignment="1">
      <alignment horizontal="right"/>
    </xf>
    <xf numFmtId="0" fontId="61" fillId="0" borderId="2" xfId="4" applyFont="1" applyFill="1" applyBorder="1"/>
    <xf numFmtId="0" fontId="38" fillId="0" borderId="2" xfId="4" applyFont="1" applyFill="1" applyBorder="1" applyAlignment="1">
      <alignment horizontal="left"/>
    </xf>
    <xf numFmtId="0" fontId="38" fillId="0" borderId="5" xfId="4" applyFont="1" applyFill="1" applyBorder="1" applyAlignment="1">
      <alignment horizontal="center" vertical="top"/>
    </xf>
    <xf numFmtId="0" fontId="45" fillId="0" borderId="2" xfId="4" applyFont="1" applyBorder="1"/>
    <xf numFmtId="0" fontId="45" fillId="0" borderId="10" xfId="4" applyFont="1" applyBorder="1"/>
    <xf numFmtId="0" fontId="38" fillId="0" borderId="59" xfId="4" applyFont="1" applyBorder="1" applyAlignment="1">
      <alignment horizontal="center"/>
    </xf>
    <xf numFmtId="0" fontId="45" fillId="0" borderId="59" xfId="4" applyFont="1" applyBorder="1" applyAlignment="1">
      <alignment horizontal="center"/>
    </xf>
    <xf numFmtId="0" fontId="45" fillId="0" borderId="0" xfId="4" applyFont="1" applyFill="1" applyBorder="1" applyAlignment="1">
      <alignment horizontal="center" vertical="top"/>
    </xf>
    <xf numFmtId="0" fontId="45" fillId="0" borderId="10" xfId="4" quotePrefix="1" applyFont="1" applyBorder="1"/>
    <xf numFmtId="0" fontId="38" fillId="0" borderId="10" xfId="4" applyFont="1" applyFill="1" applyBorder="1" applyAlignment="1">
      <alignment vertical="top" wrapText="1"/>
    </xf>
    <xf numFmtId="0" fontId="38" fillId="0" borderId="7" xfId="4" applyFont="1" applyBorder="1" applyAlignment="1">
      <alignment horizontal="center"/>
    </xf>
    <xf numFmtId="0" fontId="38" fillId="0" borderId="7" xfId="4" quotePrefix="1" applyFont="1" applyFill="1" applyBorder="1" applyAlignment="1">
      <alignment horizontal="center" vertical="top"/>
    </xf>
    <xf numFmtId="0" fontId="39" fillId="0" borderId="10" xfId="4" applyFont="1" applyFill="1" applyBorder="1" applyAlignment="1">
      <alignment vertical="top"/>
    </xf>
    <xf numFmtId="0" fontId="38" fillId="0" borderId="0" xfId="4" applyFont="1" applyFill="1" applyBorder="1" applyAlignment="1">
      <alignment horizontal="right"/>
    </xf>
    <xf numFmtId="189" fontId="38" fillId="0" borderId="7" xfId="4" applyNumberFormat="1" applyFont="1" applyFill="1" applyBorder="1" applyAlignment="1">
      <alignment horizontal="center"/>
    </xf>
    <xf numFmtId="0" fontId="38" fillId="0" borderId="7" xfId="4" applyFont="1" applyFill="1" applyBorder="1" applyAlignment="1">
      <alignment vertical="center"/>
    </xf>
    <xf numFmtId="0" fontId="38" fillId="0" borderId="7" xfId="4" quotePrefix="1" applyFont="1" applyFill="1" applyBorder="1" applyAlignment="1">
      <alignment vertical="center"/>
    </xf>
    <xf numFmtId="0" fontId="38" fillId="0" borderId="0" xfId="4" applyFont="1" applyFill="1" applyBorder="1" applyAlignment="1">
      <alignment vertical="center"/>
    </xf>
    <xf numFmtId="0" fontId="38" fillId="0" borderId="1" xfId="4" applyFont="1" applyFill="1" applyBorder="1" applyAlignment="1">
      <alignment vertical="center"/>
    </xf>
    <xf numFmtId="0" fontId="45" fillId="0" borderId="1" xfId="4" applyFont="1" applyFill="1" applyBorder="1" applyAlignment="1">
      <alignment horizontal="right" vertical="top"/>
    </xf>
    <xf numFmtId="189" fontId="38" fillId="0" borderId="7" xfId="4" quotePrefix="1" applyNumberFormat="1" applyFont="1" applyFill="1" applyBorder="1" applyAlignment="1">
      <alignment horizontal="center"/>
    </xf>
    <xf numFmtId="0" fontId="38" fillId="0" borderId="7" xfId="4" quotePrefix="1" applyFont="1" applyFill="1" applyBorder="1" applyAlignment="1">
      <alignment horizontal="center"/>
    </xf>
    <xf numFmtId="0" fontId="38" fillId="0" borderId="1" xfId="4" applyFont="1" applyFill="1" applyBorder="1" applyAlignment="1">
      <alignment horizontal="left" vertical="top"/>
    </xf>
    <xf numFmtId="189" fontId="38" fillId="0" borderId="1" xfId="4" applyNumberFormat="1" applyFont="1" applyFill="1" applyBorder="1" applyAlignment="1">
      <alignment horizontal="left"/>
    </xf>
    <xf numFmtId="0" fontId="45" fillId="0" borderId="10" xfId="4" applyFont="1" applyFill="1" applyBorder="1"/>
    <xf numFmtId="0" fontId="38" fillId="0" borderId="0" xfId="4" quotePrefix="1" applyFont="1" applyFill="1" applyBorder="1" applyAlignment="1">
      <alignment horizontal="center"/>
    </xf>
    <xf numFmtId="0" fontId="38" fillId="0" borderId="0" xfId="4" applyFont="1" applyBorder="1" applyAlignment="1">
      <alignment horizontal="center"/>
    </xf>
    <xf numFmtId="189" fontId="38" fillId="0" borderId="7" xfId="4" applyNumberFormat="1" applyFont="1" applyFill="1" applyBorder="1" applyAlignment="1">
      <alignment horizontal="center" vertical="top"/>
    </xf>
    <xf numFmtId="0" fontId="38" fillId="0" borderId="16" xfId="4" applyFont="1" applyFill="1" applyBorder="1" applyAlignment="1">
      <alignment vertical="top" wrapText="1"/>
    </xf>
    <xf numFmtId="0" fontId="38" fillId="0" borderId="19" xfId="4" applyFont="1" applyFill="1" applyBorder="1"/>
    <xf numFmtId="0" fontId="38" fillId="0" borderId="4" xfId="4" applyFont="1" applyFill="1" applyBorder="1"/>
    <xf numFmtId="0" fontId="38" fillId="0" borderId="4" xfId="4" applyFont="1" applyFill="1" applyBorder="1" applyAlignment="1">
      <alignment horizontal="center" vertical="top" wrapText="1"/>
    </xf>
    <xf numFmtId="0" fontId="38" fillId="0" borderId="0" xfId="4" applyFont="1" applyFill="1" applyBorder="1" applyAlignment="1">
      <alignment horizontal="center" vertical="top" wrapText="1"/>
    </xf>
    <xf numFmtId="0" fontId="38" fillId="0" borderId="0" xfId="4" applyFont="1" applyFill="1" applyBorder="1" applyAlignment="1">
      <alignment horizontal="left"/>
    </xf>
    <xf numFmtId="0" fontId="38" fillId="0" borderId="16" xfId="4" applyFont="1" applyFill="1" applyBorder="1" applyAlignment="1">
      <alignment vertical="top"/>
    </xf>
    <xf numFmtId="0" fontId="38" fillId="0" borderId="19" xfId="4" applyFont="1" applyFill="1" applyBorder="1" applyAlignment="1">
      <alignment horizontal="center" vertical="top" wrapText="1"/>
    </xf>
    <xf numFmtId="0" fontId="45" fillId="0" borderId="15" xfId="4" applyFont="1" applyBorder="1" applyAlignment="1">
      <alignment vertical="top" wrapText="1"/>
    </xf>
    <xf numFmtId="0" fontId="38" fillId="0" borderId="0" xfId="4" quotePrefix="1" applyFont="1" applyFill="1" applyBorder="1" applyAlignment="1">
      <alignment vertical="top"/>
    </xf>
    <xf numFmtId="0" fontId="45" fillId="0" borderId="0" xfId="4" applyFont="1" applyFill="1" applyBorder="1"/>
    <xf numFmtId="0" fontId="45" fillId="0" borderId="0" xfId="4" applyFont="1" applyFill="1" applyBorder="1" applyAlignment="1">
      <alignment vertical="top" wrapText="1"/>
    </xf>
    <xf numFmtId="0" fontId="38" fillId="0" borderId="0" xfId="4" applyFont="1" applyFill="1" applyBorder="1" applyAlignment="1">
      <alignment horizontal="center"/>
    </xf>
    <xf numFmtId="0" fontId="45" fillId="0" borderId="0" xfId="4" applyFont="1" applyFill="1"/>
    <xf numFmtId="189" fontId="38" fillId="0" borderId="1" xfId="4" applyNumberFormat="1" applyFont="1" applyFill="1" applyBorder="1" applyAlignment="1">
      <alignment horizontal="center"/>
    </xf>
    <xf numFmtId="0" fontId="39" fillId="0" borderId="12" xfId="4" applyFont="1" applyBorder="1" applyAlignment="1">
      <alignment horizontal="center"/>
    </xf>
    <xf numFmtId="0" fontId="61" fillId="0" borderId="10" xfId="4" applyFont="1" applyFill="1" applyBorder="1"/>
    <xf numFmtId="0" fontId="45" fillId="0" borderId="1" xfId="4" applyFont="1" applyFill="1" applyBorder="1" applyAlignment="1">
      <alignment horizontal="center" vertical="top"/>
    </xf>
    <xf numFmtId="0" fontId="38" fillId="0" borderId="1" xfId="4" applyFont="1" applyFill="1" applyBorder="1" applyAlignment="1">
      <alignment horizontal="right" vertical="top" wrapText="1"/>
    </xf>
    <xf numFmtId="2" fontId="38" fillId="0" borderId="1" xfId="4" applyNumberFormat="1" applyFont="1" applyFill="1" applyBorder="1" applyAlignment="1">
      <alignment horizontal="center" vertical="top"/>
    </xf>
    <xf numFmtId="0" fontId="45" fillId="0" borderId="7" xfId="4" applyFont="1" applyBorder="1" applyAlignment="1">
      <alignment vertical="top"/>
    </xf>
    <xf numFmtId="0" fontId="38" fillId="0" borderId="1" xfId="4" applyFont="1" applyFill="1" applyBorder="1" applyAlignment="1">
      <alignment horizontal="right" vertical="top"/>
    </xf>
    <xf numFmtId="0" fontId="45" fillId="0" borderId="7" xfId="4" quotePrefix="1" applyFont="1" applyBorder="1" applyAlignment="1">
      <alignment vertical="top" wrapText="1"/>
    </xf>
    <xf numFmtId="0" fontId="43" fillId="0" borderId="10" xfId="4" applyFont="1" applyFill="1" applyBorder="1" applyAlignment="1">
      <alignment vertical="top" wrapText="1"/>
    </xf>
    <xf numFmtId="0" fontId="38" fillId="0" borderId="1" xfId="4" applyFont="1" applyFill="1" applyBorder="1" applyAlignment="1">
      <alignment horizontal="right"/>
    </xf>
    <xf numFmtId="2" fontId="38" fillId="0" borderId="1" xfId="4" applyNumberFormat="1" applyFont="1" applyFill="1" applyBorder="1" applyAlignment="1">
      <alignment horizontal="center"/>
    </xf>
    <xf numFmtId="0" fontId="38" fillId="0" borderId="1" xfId="4" applyFont="1" applyFill="1" applyBorder="1" applyAlignment="1">
      <alignment horizontal="right" vertical="center"/>
    </xf>
    <xf numFmtId="2" fontId="38" fillId="0" borderId="1" xfId="4" applyNumberFormat="1" applyFont="1" applyFill="1" applyBorder="1" applyAlignment="1">
      <alignment horizontal="center" vertical="center"/>
    </xf>
    <xf numFmtId="0" fontId="45" fillId="0" borderId="7" xfId="4" quotePrefix="1" applyFont="1" applyBorder="1" applyAlignment="1">
      <alignment vertical="center"/>
    </xf>
    <xf numFmtId="0" fontId="45" fillId="0" borderId="7" xfId="4" applyFont="1" applyBorder="1" applyAlignment="1">
      <alignment vertical="center"/>
    </xf>
    <xf numFmtId="2" fontId="38" fillId="0" borderId="1" xfId="4" applyNumberFormat="1" applyFont="1" applyFill="1" applyBorder="1" applyAlignment="1">
      <alignment horizontal="center" vertical="top" wrapText="1"/>
    </xf>
    <xf numFmtId="0" fontId="39" fillId="0" borderId="1" xfId="4" applyFont="1" applyFill="1" applyBorder="1" applyAlignment="1">
      <alignment vertical="top"/>
    </xf>
    <xf numFmtId="0" fontId="38" fillId="0" borderId="1" xfId="4" applyFont="1" applyFill="1" applyBorder="1" applyAlignment="1">
      <alignment horizontal="center"/>
    </xf>
    <xf numFmtId="0" fontId="38" fillId="0" borderId="7" xfId="4" applyFont="1" applyFill="1" applyBorder="1" applyAlignment="1">
      <alignment horizontal="right"/>
    </xf>
    <xf numFmtId="0" fontId="38" fillId="0" borderId="7" xfId="4" applyFont="1" applyFill="1" applyBorder="1" applyAlignment="1">
      <alignment horizontal="right" vertical="top"/>
    </xf>
    <xf numFmtId="0" fontId="39" fillId="0" borderId="1" xfId="4" applyFont="1" applyFill="1" applyBorder="1" applyAlignment="1"/>
    <xf numFmtId="0" fontId="38" fillId="0" borderId="7" xfId="4" applyFont="1" applyFill="1" applyBorder="1" applyAlignment="1">
      <alignment horizontal="right" vertical="top" wrapText="1"/>
    </xf>
    <xf numFmtId="0" fontId="38" fillId="0" borderId="10" xfId="4" applyFont="1" applyFill="1" applyBorder="1" applyAlignment="1">
      <alignment horizontal="center" wrapText="1"/>
    </xf>
    <xf numFmtId="188" fontId="45" fillId="0" borderId="1" xfId="4" applyNumberFormat="1" applyFont="1" applyFill="1" applyBorder="1" applyAlignment="1">
      <alignment horizontal="left" vertical="top" wrapText="1"/>
    </xf>
    <xf numFmtId="0" fontId="38" fillId="0" borderId="7" xfId="4" applyFont="1" applyBorder="1" applyAlignment="1">
      <alignment wrapText="1"/>
    </xf>
    <xf numFmtId="2" fontId="45" fillId="0" borderId="1" xfId="4" applyNumberFormat="1" applyFont="1" applyFill="1" applyBorder="1" applyAlignment="1">
      <alignment horizontal="center" vertical="top" wrapText="1"/>
    </xf>
    <xf numFmtId="0" fontId="38" fillId="0" borderId="4" xfId="4" applyFont="1" applyFill="1" applyBorder="1" applyAlignment="1">
      <alignment horizontal="right" vertical="top" wrapText="1"/>
    </xf>
    <xf numFmtId="0" fontId="45" fillId="0" borderId="4" xfId="4" applyFont="1" applyFill="1" applyBorder="1" applyAlignment="1">
      <alignment horizontal="center" vertical="top" wrapText="1"/>
    </xf>
    <xf numFmtId="0" fontId="38" fillId="0" borderId="15" xfId="4" applyFont="1" applyFill="1" applyBorder="1" applyAlignment="1">
      <alignment vertical="top" wrapText="1"/>
    </xf>
    <xf numFmtId="0" fontId="48" fillId="0" borderId="0" xfId="4" applyFont="1" applyFill="1" applyBorder="1"/>
    <xf numFmtId="0" fontId="45" fillId="0" borderId="7" xfId="4" applyFont="1" applyFill="1" applyBorder="1"/>
    <xf numFmtId="0" fontId="49" fillId="0" borderId="0" xfId="0" applyFont="1" applyFill="1" applyBorder="1" applyAlignment="1" applyProtection="1">
      <alignment horizontal="left" vertical="center"/>
    </xf>
    <xf numFmtId="0" fontId="105" fillId="7" borderId="30" xfId="0" applyFont="1" applyFill="1" applyBorder="1" applyAlignment="1" applyProtection="1">
      <alignment horizontal="center" vertical="center" wrapText="1"/>
    </xf>
    <xf numFmtId="0" fontId="22" fillId="3" borderId="14" xfId="0" applyFont="1" applyFill="1" applyBorder="1" applyAlignment="1" applyProtection="1">
      <alignment horizontal="right" vertical="top"/>
    </xf>
    <xf numFmtId="49" fontId="36" fillId="0" borderId="0" xfId="0" applyNumberFormat="1" applyFont="1" applyFill="1" applyBorder="1" applyProtection="1"/>
    <xf numFmtId="0" fontId="3" fillId="3" borderId="12" xfId="0" applyFont="1" applyFill="1" applyBorder="1" applyProtection="1"/>
    <xf numFmtId="0" fontId="79" fillId="7" borderId="63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Protection="1"/>
    <xf numFmtId="0" fontId="2" fillId="0" borderId="7" xfId="0" applyFont="1" applyFill="1" applyBorder="1" applyProtection="1">
      <protection locked="0"/>
    </xf>
    <xf numFmtId="2" fontId="34" fillId="0" borderId="1" xfId="0" applyNumberFormat="1" applyFont="1" applyFill="1" applyBorder="1" applyAlignment="1" applyProtection="1">
      <alignment horizontal="center"/>
    </xf>
    <xf numFmtId="0" fontId="2" fillId="0" borderId="10" xfId="0" applyFont="1" applyFill="1" applyBorder="1" applyProtection="1">
      <protection locked="0"/>
    </xf>
    <xf numFmtId="0" fontId="2" fillId="0" borderId="7" xfId="0" applyFont="1" applyFill="1" applyBorder="1" applyAlignment="1" applyProtection="1">
      <protection locked="0"/>
    </xf>
    <xf numFmtId="0" fontId="23" fillId="0" borderId="9" xfId="1" applyFont="1" applyFill="1" applyBorder="1" applyAlignment="1" applyProtection="1">
      <alignment horizontal="left" vertical="top"/>
    </xf>
    <xf numFmtId="0" fontId="2" fillId="0" borderId="6" xfId="0" applyFont="1" applyFill="1" applyBorder="1" applyProtection="1"/>
    <xf numFmtId="0" fontId="2" fillId="0" borderId="9" xfId="0" applyFont="1" applyFill="1" applyBorder="1" applyProtection="1"/>
    <xf numFmtId="0" fontId="2" fillId="0" borderId="0" xfId="0" applyFont="1" applyFill="1" applyBorder="1" applyAlignment="1" applyProtection="1">
      <alignment horizontal="left"/>
    </xf>
    <xf numFmtId="0" fontId="2" fillId="0" borderId="7" xfId="0" applyFont="1" applyFill="1" applyBorder="1" applyProtection="1"/>
    <xf numFmtId="0" fontId="33" fillId="0" borderId="0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37" fillId="0" borderId="0" xfId="0" applyFont="1" applyFill="1" applyBorder="1" applyProtection="1"/>
    <xf numFmtId="0" fontId="6" fillId="0" borderId="0" xfId="0" applyFont="1" applyFill="1" applyProtection="1"/>
    <xf numFmtId="1" fontId="34" fillId="0" borderId="1" xfId="0" applyNumberFormat="1" applyFont="1" applyFill="1" applyBorder="1" applyAlignment="1" applyProtection="1">
      <alignment horizontal="center"/>
    </xf>
    <xf numFmtId="0" fontId="69" fillId="0" borderId="4" xfId="0" applyFont="1" applyFill="1" applyBorder="1" applyAlignment="1" applyProtection="1">
      <alignment horizontal="center" vertical="center" wrapText="1"/>
    </xf>
    <xf numFmtId="0" fontId="33" fillId="8" borderId="20" xfId="0" applyFont="1" applyFill="1" applyBorder="1" applyAlignment="1" applyProtection="1">
      <alignment horizontal="center"/>
    </xf>
    <xf numFmtId="0" fontId="2" fillId="8" borderId="20" xfId="0" applyFont="1" applyFill="1" applyBorder="1" applyAlignment="1" applyProtection="1"/>
    <xf numFmtId="2" fontId="33" fillId="8" borderId="20" xfId="0" applyNumberFormat="1" applyFont="1" applyFill="1" applyBorder="1" applyAlignment="1" applyProtection="1">
      <alignment horizontal="right"/>
    </xf>
    <xf numFmtId="0" fontId="23" fillId="0" borderId="0" xfId="0" applyFont="1" applyFill="1" applyBorder="1" applyProtection="1"/>
    <xf numFmtId="1" fontId="38" fillId="0" borderId="1" xfId="4" applyNumberFormat="1" applyFont="1" applyFill="1" applyBorder="1" applyAlignment="1">
      <alignment horizontal="center" vertical="top" wrapText="1"/>
    </xf>
    <xf numFmtId="0" fontId="45" fillId="0" borderId="7" xfId="4" applyFont="1" applyFill="1" applyBorder="1" applyAlignment="1">
      <alignment vertical="top"/>
    </xf>
    <xf numFmtId="0" fontId="38" fillId="0" borderId="0" xfId="4" applyFont="1" applyFill="1" applyBorder="1" applyAlignment="1">
      <alignment horizontal="right" vertical="top"/>
    </xf>
    <xf numFmtId="0" fontId="39" fillId="0" borderId="0" xfId="4" applyFont="1" applyFill="1" applyBorder="1" applyAlignment="1">
      <alignment vertical="top"/>
    </xf>
    <xf numFmtId="1" fontId="38" fillId="0" borderId="7" xfId="4" applyNumberFormat="1" applyFont="1" applyFill="1" applyBorder="1" applyAlignment="1">
      <alignment horizontal="center" vertical="top"/>
    </xf>
    <xf numFmtId="0" fontId="46" fillId="0" borderId="1" xfId="4" quotePrefix="1" applyFont="1" applyFill="1" applyBorder="1"/>
    <xf numFmtId="1" fontId="38" fillId="0" borderId="7" xfId="4" applyNumberFormat="1" applyFont="1" applyFill="1" applyBorder="1" applyAlignment="1">
      <alignment horizontal="center"/>
    </xf>
    <xf numFmtId="188" fontId="38" fillId="0" borderId="1" xfId="4" applyNumberFormat="1" applyFont="1" applyFill="1" applyBorder="1" applyAlignment="1">
      <alignment horizontal="center" vertical="center"/>
    </xf>
    <xf numFmtId="0" fontId="45" fillId="0" borderId="7" xfId="4" applyFont="1" applyFill="1" applyBorder="1" applyAlignment="1">
      <alignment vertical="center"/>
    </xf>
    <xf numFmtId="0" fontId="45" fillId="0" borderId="7" xfId="4" quotePrefix="1" applyFont="1" applyFill="1" applyBorder="1" applyAlignment="1">
      <alignment vertical="center"/>
    </xf>
    <xf numFmtId="0" fontId="5" fillId="10" borderId="9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left" vertical="center"/>
    </xf>
    <xf numFmtId="0" fontId="5" fillId="0" borderId="19" xfId="0" applyFont="1" applyFill="1" applyBorder="1" applyAlignment="1" applyProtection="1">
      <alignment horizontal="center" vertical="center"/>
    </xf>
    <xf numFmtId="0" fontId="11" fillId="0" borderId="15" xfId="0" applyFont="1" applyFill="1" applyBorder="1" applyAlignment="1" applyProtection="1">
      <alignment horizontal="center"/>
    </xf>
    <xf numFmtId="0" fontId="2" fillId="0" borderId="10" xfId="1" applyFont="1" applyFill="1" applyBorder="1" applyAlignment="1" applyProtection="1">
      <alignment vertical="center"/>
      <protection locked="0"/>
    </xf>
    <xf numFmtId="2" fontId="2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10" xfId="1" applyFont="1" applyFill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center"/>
    </xf>
    <xf numFmtId="0" fontId="2" fillId="10" borderId="6" xfId="0" applyFont="1" applyFill="1" applyBorder="1" applyProtection="1"/>
    <xf numFmtId="0" fontId="2" fillId="10" borderId="2" xfId="0" applyFont="1" applyFill="1" applyBorder="1" applyAlignment="1" applyProtection="1">
      <alignment horizontal="center"/>
    </xf>
    <xf numFmtId="0" fontId="2" fillId="10" borderId="9" xfId="0" applyFont="1" applyFill="1" applyBorder="1" applyProtection="1"/>
    <xf numFmtId="0" fontId="2" fillId="10" borderId="7" xfId="0" applyFont="1" applyFill="1" applyBorder="1" applyProtection="1"/>
    <xf numFmtId="0" fontId="2" fillId="10" borderId="1" xfId="0" applyFont="1" applyFill="1" applyBorder="1" applyAlignment="1" applyProtection="1">
      <alignment horizontal="center"/>
    </xf>
    <xf numFmtId="0" fontId="2" fillId="10" borderId="10" xfId="0" applyFont="1" applyFill="1" applyBorder="1" applyProtection="1"/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3" fillId="0" borderId="10" xfId="0" applyFont="1" applyFill="1" applyBorder="1" applyAlignment="1" applyProtection="1">
      <alignment horizontal="center"/>
      <protection locked="0"/>
    </xf>
    <xf numFmtId="0" fontId="45" fillId="0" borderId="16" xfId="0" applyFont="1" applyBorder="1" applyAlignment="1" applyProtection="1">
      <alignment horizontal="center"/>
      <protection locked="0"/>
    </xf>
    <xf numFmtId="0" fontId="45" fillId="0" borderId="15" xfId="0" applyFont="1" applyBorder="1" applyAlignment="1" applyProtection="1">
      <alignment horizontal="center"/>
      <protection locked="0"/>
    </xf>
    <xf numFmtId="0" fontId="83" fillId="0" borderId="9" xfId="0" applyFont="1" applyBorder="1" applyAlignment="1" applyProtection="1">
      <alignment horizontal="center"/>
      <protection locked="0"/>
    </xf>
    <xf numFmtId="0" fontId="83" fillId="0" borderId="0" xfId="0" applyFont="1" applyBorder="1" applyAlignment="1" applyProtection="1">
      <alignment horizontal="center"/>
      <protection locked="0"/>
    </xf>
    <xf numFmtId="0" fontId="83" fillId="0" borderId="12" xfId="0" applyFont="1" applyBorder="1" applyAlignment="1" applyProtection="1">
      <alignment horizontal="center"/>
      <protection locked="0"/>
    </xf>
    <xf numFmtId="0" fontId="83" fillId="0" borderId="2" xfId="0" applyFont="1" applyBorder="1" applyAlignment="1" applyProtection="1">
      <alignment horizontal="center"/>
      <protection locked="0"/>
    </xf>
    <xf numFmtId="0" fontId="83" fillId="0" borderId="19" xfId="0" applyFont="1" applyBorder="1" applyAlignment="1" applyProtection="1">
      <alignment horizontal="center"/>
      <protection locked="0"/>
    </xf>
    <xf numFmtId="0" fontId="83" fillId="0" borderId="15" xfId="0" applyFont="1" applyBorder="1" applyAlignment="1" applyProtection="1">
      <alignment horizontal="center"/>
      <protection locked="0"/>
    </xf>
    <xf numFmtId="0" fontId="45" fillId="0" borderId="0" xfId="0" applyFont="1" applyAlignment="1" applyProtection="1">
      <alignment horizontal="center"/>
      <protection locked="0"/>
    </xf>
    <xf numFmtId="0" fontId="5" fillId="0" borderId="10" xfId="0" applyFont="1" applyFill="1" applyBorder="1" applyAlignment="1" applyProtection="1">
      <alignment horizontal="left" vertical="center"/>
      <protection locked="0"/>
    </xf>
    <xf numFmtId="3" fontId="2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45" fillId="0" borderId="4" xfId="0" applyFont="1" applyBorder="1" applyAlignment="1" applyProtection="1">
      <alignment horizontal="center"/>
      <protection locked="0"/>
    </xf>
    <xf numFmtId="0" fontId="83" fillId="0" borderId="1" xfId="0" applyFont="1" applyBorder="1" applyAlignment="1" applyProtection="1">
      <alignment horizontal="center"/>
      <protection locked="0"/>
    </xf>
    <xf numFmtId="0" fontId="45" fillId="0" borderId="4" xfId="0" applyFont="1" applyBorder="1" applyAlignment="1" applyProtection="1">
      <alignment horizontal="left"/>
      <protection locked="0"/>
    </xf>
    <xf numFmtId="0" fontId="83" fillId="0" borderId="15" xfId="0" applyFont="1" applyBorder="1" applyAlignment="1" applyProtection="1">
      <alignment horizontal="left"/>
      <protection locked="0"/>
    </xf>
    <xf numFmtId="0" fontId="38" fillId="0" borderId="2" xfId="0" applyFont="1" applyBorder="1" applyAlignment="1" applyProtection="1">
      <alignment horizontal="center"/>
      <protection locked="0"/>
    </xf>
    <xf numFmtId="0" fontId="45" fillId="0" borderId="11" xfId="0" applyFont="1" applyBorder="1" applyAlignment="1" applyProtection="1">
      <alignment horizontal="center"/>
      <protection locked="0"/>
    </xf>
    <xf numFmtId="0" fontId="45" fillId="0" borderId="8" xfId="0" applyFont="1" applyBorder="1" applyAlignment="1" applyProtection="1">
      <alignment horizontal="center"/>
      <protection locked="0"/>
    </xf>
    <xf numFmtId="0" fontId="46" fillId="0" borderId="9" xfId="0" applyFont="1" applyBorder="1" applyAlignment="1" applyProtection="1">
      <alignment horizontal="center" vertical="top" wrapText="1"/>
      <protection locked="0"/>
    </xf>
    <xf numFmtId="0" fontId="46" fillId="0" borderId="6" xfId="0" applyFont="1" applyBorder="1" applyAlignment="1" applyProtection="1">
      <alignment horizontal="center" vertical="top" wrapText="1"/>
      <protection locked="0"/>
    </xf>
    <xf numFmtId="0" fontId="83" fillId="0" borderId="14" xfId="0" applyFont="1" applyBorder="1" applyAlignment="1" applyProtection="1">
      <alignment horizontal="center" vertical="top" wrapText="1"/>
      <protection locked="0"/>
    </xf>
    <xf numFmtId="0" fontId="83" fillId="0" borderId="18" xfId="0" applyFont="1" applyBorder="1" applyAlignment="1" applyProtection="1">
      <alignment horizontal="center" vertical="top" wrapText="1"/>
      <protection locked="0"/>
    </xf>
    <xf numFmtId="0" fontId="83" fillId="0" borderId="12" xfId="0" applyFont="1" applyBorder="1" applyAlignment="1" applyProtection="1">
      <alignment horizontal="center" vertical="top" wrapText="1"/>
      <protection locked="0"/>
    </xf>
    <xf numFmtId="0" fontId="46" fillId="0" borderId="9" xfId="0" applyFont="1" applyBorder="1" applyAlignment="1" applyProtection="1">
      <alignment horizontal="left" vertical="top" wrapText="1"/>
      <protection locked="0"/>
    </xf>
    <xf numFmtId="0" fontId="46" fillId="0" borderId="5" xfId="0" applyFont="1" applyBorder="1" applyAlignment="1" applyProtection="1">
      <alignment horizontal="left" vertical="top" wrapText="1"/>
      <protection locked="0"/>
    </xf>
    <xf numFmtId="0" fontId="46" fillId="0" borderId="6" xfId="0" applyFont="1" applyBorder="1" applyAlignment="1" applyProtection="1">
      <alignment horizontal="left" vertical="top" wrapText="1"/>
      <protection locked="0"/>
    </xf>
    <xf numFmtId="0" fontId="45" fillId="0" borderId="51" xfId="0" applyFont="1" applyBorder="1" applyAlignment="1" applyProtection="1">
      <alignment horizontal="center"/>
      <protection locked="0"/>
    </xf>
    <xf numFmtId="0" fontId="45" fillId="0" borderId="53" xfId="0" applyFont="1" applyBorder="1" applyAlignment="1" applyProtection="1">
      <alignment horizontal="center"/>
      <protection locked="0"/>
    </xf>
    <xf numFmtId="0" fontId="83" fillId="0" borderId="10" xfId="0" applyFont="1" applyBorder="1" applyAlignment="1" applyProtection="1">
      <alignment horizontal="left"/>
      <protection locked="0"/>
    </xf>
    <xf numFmtId="0" fontId="83" fillId="0" borderId="0" xfId="0" applyFont="1" applyBorder="1" applyAlignment="1" applyProtection="1">
      <alignment horizontal="left"/>
      <protection locked="0"/>
    </xf>
    <xf numFmtId="0" fontId="83" fillId="0" borderId="7" xfId="0" applyFont="1" applyBorder="1" applyAlignment="1" applyProtection="1">
      <alignment horizontal="left"/>
      <protection locked="0"/>
    </xf>
    <xf numFmtId="0" fontId="39" fillId="0" borderId="0" xfId="0" applyFont="1" applyAlignment="1" applyProtection="1">
      <alignment horizontal="right"/>
      <protection locked="0"/>
    </xf>
    <xf numFmtId="0" fontId="84" fillId="0" borderId="0" xfId="0" applyFont="1" applyAlignment="1" applyProtection="1">
      <protection locked="0"/>
    </xf>
    <xf numFmtId="0" fontId="84" fillId="0" borderId="19" xfId="0" applyFont="1" applyBorder="1" applyAlignment="1" applyProtection="1">
      <protection locked="0"/>
    </xf>
    <xf numFmtId="0" fontId="95" fillId="0" borderId="2" xfId="0" applyFont="1" applyBorder="1" applyAlignment="1" applyProtection="1">
      <alignment horizontal="center" vertical="center" shrinkToFit="1"/>
      <protection locked="0"/>
    </xf>
    <xf numFmtId="0" fontId="95" fillId="0" borderId="4" xfId="0" applyFont="1" applyBorder="1" applyAlignment="1" applyProtection="1">
      <alignment horizontal="center" vertical="center" shrinkToFit="1"/>
      <protection locked="0"/>
    </xf>
    <xf numFmtId="0" fontId="96" fillId="0" borderId="9" xfId="0" applyFont="1" applyBorder="1" applyAlignment="1" applyProtection="1">
      <alignment horizontal="center" vertical="center" wrapText="1" shrinkToFit="1"/>
      <protection locked="0"/>
    </xf>
    <xf numFmtId="0" fontId="96" fillId="0" borderId="5" xfId="0" applyFont="1" applyBorder="1" applyAlignment="1" applyProtection="1">
      <alignment horizontal="center" vertical="center" wrapText="1" shrinkToFit="1"/>
      <protection locked="0"/>
    </xf>
    <xf numFmtId="0" fontId="96" fillId="0" borderId="6" xfId="0" applyFont="1" applyBorder="1" applyAlignment="1" applyProtection="1">
      <alignment horizontal="center" vertical="center" wrapText="1" shrinkToFit="1"/>
      <protection locked="0"/>
    </xf>
    <xf numFmtId="0" fontId="96" fillId="0" borderId="16" xfId="0" applyFont="1" applyBorder="1" applyAlignment="1" applyProtection="1">
      <alignment horizontal="center" vertical="center" wrapText="1" shrinkToFit="1"/>
      <protection locked="0"/>
    </xf>
    <xf numFmtId="0" fontId="96" fillId="0" borderId="19" xfId="0" applyFont="1" applyBorder="1" applyAlignment="1" applyProtection="1">
      <alignment horizontal="center" vertical="center" wrapText="1" shrinkToFit="1"/>
      <protection locked="0"/>
    </xf>
    <xf numFmtId="0" fontId="96" fillId="0" borderId="15" xfId="0" applyFont="1" applyBorder="1" applyAlignment="1" applyProtection="1">
      <alignment horizontal="center" vertical="center" wrapText="1" shrinkToFit="1"/>
      <protection locked="0"/>
    </xf>
    <xf numFmtId="0" fontId="83" fillId="5" borderId="14" xfId="0" applyFont="1" applyFill="1" applyBorder="1" applyAlignment="1" applyProtection="1">
      <alignment horizontal="left" vertical="center" shrinkToFit="1"/>
      <protection locked="0"/>
    </xf>
    <xf numFmtId="0" fontId="83" fillId="5" borderId="18" xfId="0" applyFont="1" applyFill="1" applyBorder="1" applyAlignment="1" applyProtection="1">
      <alignment horizontal="left" vertical="center" shrinkToFit="1"/>
      <protection locked="0"/>
    </xf>
    <xf numFmtId="0" fontId="83" fillId="5" borderId="12" xfId="0" applyFont="1" applyFill="1" applyBorder="1" applyAlignment="1" applyProtection="1">
      <alignment horizontal="left" vertical="center" shrinkToFit="1"/>
      <protection locked="0"/>
    </xf>
    <xf numFmtId="0" fontId="95" fillId="0" borderId="9" xfId="0" applyFont="1" applyBorder="1" applyAlignment="1" applyProtection="1">
      <alignment horizontal="center" vertical="center" shrinkToFit="1"/>
      <protection locked="0"/>
    </xf>
    <xf numFmtId="0" fontId="95" fillId="0" borderId="6" xfId="0" applyFont="1" applyBorder="1" applyAlignment="1" applyProtection="1">
      <alignment horizontal="center" vertical="center" shrinkToFit="1"/>
      <protection locked="0"/>
    </xf>
    <xf numFmtId="0" fontId="95" fillId="0" borderId="16" xfId="0" applyFont="1" applyBorder="1" applyAlignment="1" applyProtection="1">
      <alignment horizontal="center" vertical="center" shrinkToFit="1"/>
      <protection locked="0"/>
    </xf>
    <xf numFmtId="0" fontId="95" fillId="0" borderId="15" xfId="0" applyFont="1" applyBorder="1" applyAlignment="1" applyProtection="1">
      <alignment horizontal="center" vertical="center" shrinkToFit="1"/>
      <protection locked="0"/>
    </xf>
    <xf numFmtId="0" fontId="45" fillId="0" borderId="1" xfId="0" applyFont="1" applyBorder="1" applyAlignment="1" applyProtection="1">
      <alignment horizontal="left" vertical="top" wrapText="1"/>
      <protection locked="0"/>
    </xf>
    <xf numFmtId="0" fontId="45" fillId="0" borderId="4" xfId="0" applyFont="1" applyBorder="1" applyAlignment="1" applyProtection="1">
      <alignment horizontal="left" vertical="top" wrapText="1"/>
      <protection locked="0"/>
    </xf>
    <xf numFmtId="2" fontId="83" fillId="0" borderId="14" xfId="0" applyNumberFormat="1" applyFont="1" applyBorder="1" applyAlignment="1" applyProtection="1">
      <alignment horizontal="center"/>
      <protection locked="0"/>
    </xf>
    <xf numFmtId="0" fontId="83" fillId="0" borderId="18" xfId="0" applyFont="1" applyBorder="1" applyAlignment="1" applyProtection="1">
      <alignment horizontal="center"/>
      <protection locked="0"/>
    </xf>
    <xf numFmtId="0" fontId="83" fillId="0" borderId="12" xfId="0" applyFont="1" applyBorder="1" applyAlignment="1" applyProtection="1">
      <alignment horizontal="center"/>
      <protection locked="0"/>
    </xf>
    <xf numFmtId="2" fontId="83" fillId="0" borderId="14" xfId="0" applyNumberFormat="1" applyFont="1" applyBorder="1" applyAlignment="1" applyProtection="1">
      <alignment horizontal="center" vertical="center"/>
      <protection locked="0"/>
    </xf>
    <xf numFmtId="0" fontId="83" fillId="0" borderId="18" xfId="0" applyFont="1" applyBorder="1" applyAlignment="1" applyProtection="1">
      <alignment horizontal="center" vertical="center"/>
      <protection locked="0"/>
    </xf>
    <xf numFmtId="0" fontId="83" fillId="0" borderId="12" xfId="0" applyFont="1" applyBorder="1" applyAlignment="1" applyProtection="1">
      <alignment horizontal="center" vertical="center"/>
      <protection locked="0"/>
    </xf>
    <xf numFmtId="2" fontId="83" fillId="0" borderId="2" xfId="0" applyNumberFormat="1" applyFont="1" applyBorder="1" applyAlignment="1" applyProtection="1">
      <alignment horizontal="center"/>
      <protection locked="0"/>
    </xf>
    <xf numFmtId="0" fontId="83" fillId="0" borderId="2" xfId="0" applyFont="1" applyBorder="1" applyAlignment="1" applyProtection="1">
      <alignment horizontal="center"/>
      <protection locked="0"/>
    </xf>
    <xf numFmtId="0" fontId="95" fillId="0" borderId="2" xfId="0" applyFont="1" applyBorder="1" applyAlignment="1" applyProtection="1">
      <alignment horizontal="center" vertical="center" wrapText="1" shrinkToFit="1"/>
      <protection locked="0"/>
    </xf>
    <xf numFmtId="0" fontId="95" fillId="0" borderId="4" xfId="0" applyFont="1" applyBorder="1" applyAlignment="1" applyProtection="1">
      <alignment horizontal="center" vertical="center" wrapText="1" shrinkToFit="1"/>
      <protection locked="0"/>
    </xf>
    <xf numFmtId="0" fontId="39" fillId="0" borderId="0" xfId="0" applyFont="1" applyAlignment="1" applyProtection="1">
      <alignment horizontal="center"/>
      <protection locked="0"/>
    </xf>
    <xf numFmtId="0" fontId="83" fillId="5" borderId="14" xfId="0" applyFont="1" applyFill="1" applyBorder="1" applyAlignment="1" applyProtection="1">
      <alignment horizontal="left"/>
      <protection locked="0"/>
    </xf>
    <xf numFmtId="0" fontId="83" fillId="5" borderId="18" xfId="0" applyFont="1" applyFill="1" applyBorder="1" applyAlignment="1" applyProtection="1">
      <alignment horizontal="left"/>
      <protection locked="0"/>
    </xf>
    <xf numFmtId="0" fontId="83" fillId="5" borderId="12" xfId="0" applyFont="1" applyFill="1" applyBorder="1" applyAlignment="1" applyProtection="1">
      <alignment horizontal="left"/>
      <protection locked="0"/>
    </xf>
    <xf numFmtId="0" fontId="83" fillId="0" borderId="10" xfId="0" applyFont="1" applyBorder="1" applyAlignment="1" applyProtection="1">
      <alignment horizontal="center"/>
      <protection locked="0"/>
    </xf>
    <xf numFmtId="0" fontId="83" fillId="0" borderId="0" xfId="0" applyFont="1" applyBorder="1" applyAlignment="1" applyProtection="1">
      <alignment horizontal="center"/>
      <protection locked="0"/>
    </xf>
    <xf numFmtId="0" fontId="83" fillId="0" borderId="7" xfId="0" applyFont="1" applyBorder="1" applyAlignment="1" applyProtection="1">
      <alignment horizontal="center"/>
      <protection locked="0"/>
    </xf>
    <xf numFmtId="0" fontId="83" fillId="0" borderId="9" xfId="0" applyFont="1" applyBorder="1" applyAlignment="1" applyProtection="1">
      <alignment horizontal="center"/>
      <protection locked="0"/>
    </xf>
    <xf numFmtId="0" fontId="83" fillId="0" borderId="6" xfId="0" applyFont="1" applyBorder="1" applyAlignment="1" applyProtection="1">
      <alignment horizontal="center"/>
      <protection locked="0"/>
    </xf>
    <xf numFmtId="0" fontId="83" fillId="0" borderId="16" xfId="0" applyFont="1" applyBorder="1" applyAlignment="1" applyProtection="1">
      <alignment horizontal="center"/>
      <protection locked="0"/>
    </xf>
    <xf numFmtId="0" fontId="83" fillId="0" borderId="19" xfId="0" applyFont="1" applyBorder="1" applyAlignment="1" applyProtection="1">
      <alignment horizontal="center"/>
      <protection locked="0"/>
    </xf>
    <xf numFmtId="0" fontId="83" fillId="0" borderId="15" xfId="0" applyFont="1" applyBorder="1" applyAlignment="1" applyProtection="1">
      <alignment horizontal="center"/>
      <protection locked="0"/>
    </xf>
    <xf numFmtId="0" fontId="45" fillId="0" borderId="2" xfId="0" applyFont="1" applyBorder="1" applyAlignment="1" applyProtection="1">
      <alignment horizontal="left" vertical="top" wrapText="1"/>
      <protection locked="0"/>
    </xf>
    <xf numFmtId="0" fontId="83" fillId="0" borderId="5" xfId="0" applyFont="1" applyBorder="1" applyAlignment="1" applyProtection="1">
      <alignment horizontal="center"/>
      <protection locked="0"/>
    </xf>
    <xf numFmtId="49" fontId="83" fillId="0" borderId="14" xfId="0" applyNumberFormat="1" applyFont="1" applyBorder="1" applyAlignment="1" applyProtection="1">
      <alignment horizontal="center" vertical="center"/>
      <protection locked="0"/>
    </xf>
    <xf numFmtId="49" fontId="83" fillId="0" borderId="18" xfId="0" applyNumberFormat="1" applyFont="1" applyBorder="1" applyAlignment="1" applyProtection="1">
      <alignment horizontal="center" vertical="center"/>
      <protection locked="0"/>
    </xf>
    <xf numFmtId="49" fontId="83" fillId="0" borderId="12" xfId="0" applyNumberFormat="1" applyFont="1" applyBorder="1" applyAlignment="1" applyProtection="1">
      <alignment horizontal="center" vertical="center"/>
      <protection locked="0"/>
    </xf>
    <xf numFmtId="0" fontId="83" fillId="0" borderId="2" xfId="0" applyFont="1" applyBorder="1" applyAlignment="1" applyProtection="1">
      <alignment horizontal="center" vertical="center"/>
      <protection locked="0"/>
    </xf>
    <xf numFmtId="0" fontId="83" fillId="0" borderId="4" xfId="0" applyFont="1" applyBorder="1" applyAlignment="1" applyProtection="1">
      <alignment horizontal="center" vertical="center"/>
      <protection locked="0"/>
    </xf>
    <xf numFmtId="0" fontId="83" fillId="0" borderId="5" xfId="0" applyNumberFormat="1" applyFont="1" applyBorder="1" applyAlignment="1" applyProtection="1">
      <alignment horizontal="center" vertical="top" wrapText="1"/>
      <protection locked="0"/>
    </xf>
    <xf numFmtId="0" fontId="83" fillId="0" borderId="6" xfId="0" applyNumberFormat="1" applyFont="1" applyBorder="1" applyAlignment="1" applyProtection="1">
      <alignment horizontal="center" vertical="top" wrapText="1"/>
      <protection locked="0"/>
    </xf>
    <xf numFmtId="0" fontId="83" fillId="0" borderId="19" xfId="0" applyNumberFormat="1" applyFont="1" applyBorder="1" applyAlignment="1" applyProtection="1">
      <alignment horizontal="center" vertical="top" wrapText="1"/>
      <protection locked="0"/>
    </xf>
    <xf numFmtId="0" fontId="83" fillId="0" borderId="15" xfId="0" applyNumberFormat="1" applyFont="1" applyBorder="1" applyAlignment="1" applyProtection="1">
      <alignment horizontal="center" vertical="top" wrapText="1"/>
      <protection locked="0"/>
    </xf>
    <xf numFmtId="0" fontId="45" fillId="0" borderId="16" xfId="0" applyFont="1" applyBorder="1" applyAlignment="1" applyProtection="1">
      <alignment horizontal="center" vertical="top" wrapText="1"/>
      <protection locked="0"/>
    </xf>
    <xf numFmtId="0" fontId="85" fillId="0" borderId="15" xfId="0" applyFont="1" applyBorder="1" applyAlignment="1" applyProtection="1">
      <alignment vertical="top" wrapText="1"/>
      <protection locked="0"/>
    </xf>
    <xf numFmtId="0" fontId="45" fillId="0" borderId="15" xfId="0" applyFont="1" applyBorder="1" applyAlignment="1" applyProtection="1">
      <alignment horizontal="center" vertical="top" wrapText="1"/>
      <protection locked="0"/>
    </xf>
    <xf numFmtId="0" fontId="83" fillId="0" borderId="14" xfId="0" applyFont="1" applyBorder="1" applyAlignment="1" applyProtection="1">
      <alignment horizontal="center"/>
      <protection locked="0"/>
    </xf>
    <xf numFmtId="0" fontId="45" fillId="0" borderId="23" xfId="0" applyFont="1" applyBorder="1" applyAlignment="1" applyProtection="1">
      <alignment horizontal="center"/>
      <protection locked="0"/>
    </xf>
    <xf numFmtId="0" fontId="45" fillId="0" borderId="22" xfId="0" applyFont="1" applyBorder="1" applyAlignment="1" applyProtection="1">
      <alignment horizontal="center"/>
      <protection locked="0"/>
    </xf>
    <xf numFmtId="2" fontId="83" fillId="0" borderId="10" xfId="0" applyNumberFormat="1" applyFont="1" applyBorder="1" applyAlignment="1" applyProtection="1">
      <alignment horizontal="center"/>
      <protection locked="0"/>
    </xf>
    <xf numFmtId="0" fontId="45" fillId="0" borderId="10" xfId="0" applyFont="1" applyBorder="1" applyAlignment="1" applyProtection="1">
      <alignment horizontal="left"/>
      <protection locked="0"/>
    </xf>
    <xf numFmtId="0" fontId="45" fillId="0" borderId="0" xfId="0" applyFont="1" applyBorder="1" applyAlignment="1" applyProtection="1">
      <alignment horizontal="left"/>
      <protection locked="0"/>
    </xf>
    <xf numFmtId="0" fontId="45" fillId="0" borderId="7" xfId="0" applyFont="1" applyBorder="1" applyAlignment="1" applyProtection="1">
      <alignment horizontal="left"/>
      <protection locked="0"/>
    </xf>
    <xf numFmtId="0" fontId="45" fillId="0" borderId="10" xfId="0" applyFont="1" applyBorder="1" applyAlignment="1" applyProtection="1">
      <alignment horizontal="center"/>
      <protection locked="0"/>
    </xf>
    <xf numFmtId="0" fontId="45" fillId="0" borderId="7" xfId="0" applyFont="1" applyBorder="1" applyAlignment="1" applyProtection="1">
      <alignment horizontal="center"/>
      <protection locked="0"/>
    </xf>
    <xf numFmtId="0" fontId="45" fillId="0" borderId="16" xfId="0" applyFont="1" applyBorder="1" applyAlignment="1" applyProtection="1">
      <alignment horizontal="center"/>
      <protection locked="0"/>
    </xf>
    <xf numFmtId="0" fontId="45" fillId="0" borderId="19" xfId="0" applyFont="1" applyBorder="1" applyAlignment="1" applyProtection="1">
      <alignment horizontal="center"/>
      <protection locked="0"/>
    </xf>
    <xf numFmtId="0" fontId="45" fillId="0" borderId="15" xfId="0" applyFont="1" applyBorder="1" applyAlignment="1" applyProtection="1">
      <alignment horizontal="center"/>
      <protection locked="0"/>
    </xf>
    <xf numFmtId="49" fontId="89" fillId="0" borderId="14" xfId="0" applyNumberFormat="1" applyFont="1" applyBorder="1" applyAlignment="1" applyProtection="1">
      <alignment horizontal="right" vertical="center"/>
      <protection locked="0"/>
    </xf>
    <xf numFmtId="49" fontId="89" fillId="0" borderId="18" xfId="0" applyNumberFormat="1" applyFont="1" applyBorder="1" applyAlignment="1" applyProtection="1">
      <alignment horizontal="right" vertical="center"/>
      <protection locked="0"/>
    </xf>
    <xf numFmtId="49" fontId="89" fillId="0" borderId="12" xfId="0" applyNumberFormat="1" applyFont="1" applyBorder="1" applyAlignment="1" applyProtection="1">
      <alignment horizontal="right" vertical="center"/>
      <protection locked="0"/>
    </xf>
    <xf numFmtId="0" fontId="84" fillId="0" borderId="10" xfId="0" applyFont="1" applyBorder="1" applyAlignment="1" applyProtection="1">
      <protection locked="0"/>
    </xf>
    <xf numFmtId="0" fontId="84" fillId="0" borderId="0" xfId="0" applyFont="1" applyBorder="1" applyAlignment="1" applyProtection="1">
      <protection locked="0"/>
    </xf>
    <xf numFmtId="0" fontId="83" fillId="0" borderId="0" xfId="0" applyFont="1" applyBorder="1" applyAlignment="1" applyProtection="1">
      <alignment horizontal="center" vertical="top" wrapText="1"/>
      <protection locked="0"/>
    </xf>
    <xf numFmtId="2" fontId="88" fillId="0" borderId="14" xfId="0" applyNumberFormat="1" applyFont="1" applyBorder="1" applyAlignment="1" applyProtection="1">
      <alignment horizontal="center"/>
      <protection locked="0"/>
    </xf>
    <xf numFmtId="2" fontId="88" fillId="0" borderId="18" xfId="0" applyNumberFormat="1" applyFont="1" applyBorder="1" applyAlignment="1" applyProtection="1">
      <alignment horizontal="center"/>
      <protection locked="0"/>
    </xf>
    <xf numFmtId="2" fontId="88" fillId="0" borderId="12" xfId="0" applyNumberFormat="1" applyFont="1" applyBorder="1" applyAlignment="1" applyProtection="1">
      <alignment horizontal="center"/>
      <protection locked="0"/>
    </xf>
    <xf numFmtId="0" fontId="87" fillId="0" borderId="9" xfId="0" applyFont="1" applyBorder="1" applyAlignment="1" applyProtection="1">
      <alignment horizontal="center" vertical="top" wrapText="1"/>
      <protection locked="0"/>
    </xf>
    <xf numFmtId="0" fontId="87" fillId="0" borderId="5" xfId="0" applyFont="1" applyBorder="1" applyAlignment="1" applyProtection="1">
      <alignment horizontal="center" vertical="top" wrapText="1"/>
      <protection locked="0"/>
    </xf>
    <xf numFmtId="0" fontId="87" fillId="0" borderId="6" xfId="0" applyFont="1" applyBorder="1" applyAlignment="1" applyProtection="1">
      <alignment horizontal="center" vertical="top" wrapText="1"/>
      <protection locked="0"/>
    </xf>
    <xf numFmtId="0" fontId="83" fillId="0" borderId="14" xfId="0" applyFont="1" applyBorder="1" applyAlignment="1" applyProtection="1">
      <alignment horizontal="right" vertical="top" wrapText="1"/>
      <protection locked="0"/>
    </xf>
    <xf numFmtId="0" fontId="83" fillId="0" borderId="18" xfId="0" applyFont="1" applyBorder="1" applyAlignment="1" applyProtection="1">
      <alignment horizontal="right" vertical="top" wrapText="1"/>
      <protection locked="0"/>
    </xf>
    <xf numFmtId="0" fontId="83" fillId="0" borderId="12" xfId="0" applyFont="1" applyBorder="1" applyAlignment="1" applyProtection="1">
      <alignment horizontal="right" vertical="top" wrapText="1"/>
      <protection locked="0"/>
    </xf>
    <xf numFmtId="0" fontId="46" fillId="0" borderId="10" xfId="0" applyFont="1" applyBorder="1" applyAlignment="1" applyProtection="1">
      <alignment horizontal="left" vertical="top" wrapText="1"/>
      <protection locked="0"/>
    </xf>
    <xf numFmtId="0" fontId="46" fillId="0" borderId="0" xfId="0" applyFont="1" applyBorder="1" applyAlignment="1" applyProtection="1">
      <alignment horizontal="left" vertical="top" wrapText="1"/>
      <protection locked="0"/>
    </xf>
    <xf numFmtId="0" fontId="46" fillId="0" borderId="7" xfId="0" applyFont="1" applyBorder="1" applyAlignment="1" applyProtection="1">
      <alignment horizontal="left" vertical="top" wrapText="1"/>
      <protection locked="0"/>
    </xf>
    <xf numFmtId="0" fontId="46" fillId="0" borderId="16" xfId="0" applyFont="1" applyBorder="1" applyAlignment="1" applyProtection="1">
      <alignment horizontal="left" vertical="top" wrapText="1"/>
      <protection locked="0"/>
    </xf>
    <xf numFmtId="0" fontId="46" fillId="0" borderId="19" xfId="0" applyFont="1" applyBorder="1" applyAlignment="1" applyProtection="1">
      <alignment horizontal="left" vertical="top" wrapText="1"/>
      <protection locked="0"/>
    </xf>
    <xf numFmtId="0" fontId="46" fillId="0" borderId="15" xfId="0" applyFont="1" applyBorder="1" applyAlignment="1" applyProtection="1">
      <alignment horizontal="left" vertical="top" wrapText="1"/>
      <protection locked="0"/>
    </xf>
    <xf numFmtId="0" fontId="87" fillId="0" borderId="10" xfId="0" applyFont="1" applyBorder="1" applyAlignment="1" applyProtection="1">
      <alignment horizontal="center" vertical="top" wrapText="1"/>
      <protection locked="0"/>
    </xf>
    <xf numFmtId="0" fontId="87" fillId="0" borderId="0" xfId="0" applyFont="1" applyBorder="1" applyAlignment="1" applyProtection="1">
      <alignment horizontal="center" vertical="top" wrapText="1"/>
      <protection locked="0"/>
    </xf>
    <xf numFmtId="0" fontId="87" fillId="0" borderId="7" xfId="0" applyFont="1" applyBorder="1" applyAlignment="1" applyProtection="1">
      <alignment horizontal="center" vertical="top" wrapText="1"/>
      <protection locked="0"/>
    </xf>
    <xf numFmtId="0" fontId="87" fillId="0" borderId="16" xfId="0" applyFont="1" applyBorder="1" applyAlignment="1" applyProtection="1">
      <alignment horizontal="center" vertical="top" wrapText="1"/>
      <protection locked="0"/>
    </xf>
    <xf numFmtId="0" fontId="87" fillId="0" borderId="19" xfId="0" applyFont="1" applyBorder="1" applyAlignment="1" applyProtection="1">
      <alignment horizontal="center" vertical="top" wrapText="1"/>
      <protection locked="0"/>
    </xf>
    <xf numFmtId="0" fontId="87" fillId="0" borderId="15" xfId="0" applyFont="1" applyBorder="1" applyAlignment="1" applyProtection="1">
      <alignment horizontal="center" vertical="top" wrapText="1"/>
      <protection locked="0"/>
    </xf>
    <xf numFmtId="0" fontId="46" fillId="0" borderId="10" xfId="0" applyFont="1" applyBorder="1" applyAlignment="1" applyProtection="1">
      <alignment horizontal="center" vertical="top" wrapText="1"/>
      <protection locked="0"/>
    </xf>
    <xf numFmtId="0" fontId="46" fillId="0" borderId="7" xfId="0" applyFont="1" applyBorder="1" applyAlignment="1" applyProtection="1">
      <alignment horizontal="center" vertical="top" wrapText="1"/>
      <protection locked="0"/>
    </xf>
    <xf numFmtId="0" fontId="46" fillId="0" borderId="16" xfId="0" applyFont="1" applyBorder="1" applyAlignment="1" applyProtection="1">
      <alignment horizontal="center" vertical="top" wrapText="1"/>
      <protection locked="0"/>
    </xf>
    <xf numFmtId="0" fontId="46" fillId="0" borderId="15" xfId="0" applyFont="1" applyBorder="1" applyAlignment="1" applyProtection="1">
      <alignment horizontal="center" vertical="top" wrapText="1"/>
      <protection locked="0"/>
    </xf>
    <xf numFmtId="0" fontId="45" fillId="0" borderId="0" xfId="0" applyFont="1" applyBorder="1" applyAlignment="1" applyProtection="1">
      <alignment horizontal="center"/>
      <protection locked="0"/>
    </xf>
    <xf numFmtId="0" fontId="46" fillId="0" borderId="0" xfId="0" applyFont="1" applyBorder="1" applyAlignment="1" applyProtection="1">
      <alignment horizontal="center"/>
      <protection locked="0"/>
    </xf>
    <xf numFmtId="0" fontId="45" fillId="0" borderId="14" xfId="0" applyFont="1" applyBorder="1" applyAlignment="1" applyProtection="1">
      <alignment horizontal="center" vertical="top" wrapText="1"/>
      <protection locked="0"/>
    </xf>
    <xf numFmtId="0" fontId="45" fillId="0" borderId="12" xfId="0" applyFont="1" applyBorder="1" applyAlignment="1" applyProtection="1">
      <alignment horizontal="center" vertical="top" wrapText="1"/>
      <protection locked="0"/>
    </xf>
    <xf numFmtId="2" fontId="88" fillId="0" borderId="14" xfId="0" applyNumberFormat="1" applyFont="1" applyBorder="1" applyAlignment="1" applyProtection="1">
      <alignment horizontal="center" vertical="top" wrapText="1"/>
      <protection locked="0"/>
    </xf>
    <xf numFmtId="2" fontId="88" fillId="0" borderId="18" xfId="0" applyNumberFormat="1" applyFont="1" applyBorder="1" applyAlignment="1" applyProtection="1">
      <alignment horizontal="center" vertical="top" wrapText="1"/>
      <protection locked="0"/>
    </xf>
    <xf numFmtId="2" fontId="88" fillId="0" borderId="12" xfId="0" applyNumberFormat="1" applyFont="1" applyBorder="1" applyAlignment="1" applyProtection="1">
      <alignment horizontal="center" vertical="top" wrapText="1"/>
      <protection locked="0"/>
    </xf>
    <xf numFmtId="1" fontId="88" fillId="0" borderId="0" xfId="0" applyNumberFormat="1" applyFont="1" applyBorder="1" applyAlignment="1" applyProtection="1">
      <alignment horizontal="center"/>
      <protection locked="0"/>
    </xf>
    <xf numFmtId="0" fontId="84" fillId="0" borderId="16" xfId="0" applyFont="1" applyBorder="1" applyAlignment="1" applyProtection="1">
      <protection locked="0"/>
    </xf>
    <xf numFmtId="0" fontId="84" fillId="0" borderId="15" xfId="0" applyFont="1" applyBorder="1" applyAlignment="1" applyProtection="1">
      <protection locked="0"/>
    </xf>
    <xf numFmtId="2" fontId="87" fillId="0" borderId="64" xfId="0" applyNumberFormat="1" applyFont="1" applyBorder="1" applyAlignment="1" applyProtection="1">
      <alignment horizontal="center" vertical="top" wrapText="1"/>
      <protection locked="0"/>
    </xf>
    <xf numFmtId="2" fontId="87" fillId="0" borderId="65" xfId="0" applyNumberFormat="1" applyFont="1" applyBorder="1" applyAlignment="1" applyProtection="1">
      <alignment horizontal="center" vertical="top" wrapText="1"/>
      <protection locked="0"/>
    </xf>
    <xf numFmtId="2" fontId="87" fillId="0" borderId="27" xfId="0" applyNumberFormat="1" applyFont="1" applyBorder="1" applyAlignment="1" applyProtection="1">
      <alignment horizontal="center" vertical="top" wrapText="1"/>
      <protection locked="0"/>
    </xf>
    <xf numFmtId="0" fontId="45" fillId="0" borderId="23" xfId="0" applyFont="1" applyBorder="1" applyAlignment="1" applyProtection="1">
      <alignment horizontal="left" vertical="top" wrapText="1"/>
      <protection locked="0"/>
    </xf>
    <xf numFmtId="0" fontId="45" fillId="0" borderId="22" xfId="0" applyFont="1" applyBorder="1" applyAlignment="1" applyProtection="1">
      <alignment horizontal="left" vertical="top" wrapText="1"/>
      <protection locked="0"/>
    </xf>
    <xf numFmtId="2" fontId="87" fillId="0" borderId="16" xfId="0" applyNumberFormat="1" applyFont="1" applyBorder="1" applyAlignment="1" applyProtection="1">
      <alignment horizontal="center" vertical="top" wrapText="1"/>
      <protection locked="0"/>
    </xf>
    <xf numFmtId="2" fontId="87" fillId="0" borderId="19" xfId="0" applyNumberFormat="1" applyFont="1" applyBorder="1" applyAlignment="1" applyProtection="1">
      <alignment horizontal="center" vertical="top" wrapText="1"/>
      <protection locked="0"/>
    </xf>
    <xf numFmtId="2" fontId="87" fillId="0" borderId="15" xfId="0" applyNumberFormat="1" applyFont="1" applyBorder="1" applyAlignment="1" applyProtection="1">
      <alignment horizontal="center" vertical="top" wrapText="1"/>
      <protection locked="0"/>
    </xf>
    <xf numFmtId="0" fontId="45" fillId="0" borderId="64" xfId="0" applyFont="1" applyBorder="1" applyAlignment="1" applyProtection="1">
      <alignment horizontal="left" vertical="top" wrapText="1"/>
      <protection locked="0"/>
    </xf>
    <xf numFmtId="0" fontId="45" fillId="0" borderId="27" xfId="0" applyFont="1" applyBorder="1" applyAlignment="1" applyProtection="1">
      <alignment horizontal="left" vertical="top" wrapText="1"/>
      <protection locked="0"/>
    </xf>
    <xf numFmtId="0" fontId="11" fillId="6" borderId="14" xfId="0" applyFont="1" applyFill="1" applyBorder="1" applyAlignment="1" applyProtection="1">
      <alignment horizontal="center" vertical="center"/>
    </xf>
    <xf numFmtId="0" fontId="11" fillId="6" borderId="18" xfId="0" applyFont="1" applyFill="1" applyBorder="1" applyAlignment="1" applyProtection="1">
      <alignment horizontal="center" vertical="center"/>
    </xf>
    <xf numFmtId="0" fontId="11" fillId="13" borderId="14" xfId="0" applyFont="1" applyFill="1" applyBorder="1" applyAlignment="1" applyProtection="1">
      <alignment horizontal="center" vertical="center" wrapText="1"/>
    </xf>
    <xf numFmtId="0" fontId="11" fillId="13" borderId="18" xfId="0" applyFont="1" applyFill="1" applyBorder="1" applyAlignment="1" applyProtection="1">
      <alignment horizontal="center" vertical="center" wrapText="1"/>
    </xf>
    <xf numFmtId="0" fontId="11" fillId="12" borderId="14" xfId="0" applyFont="1" applyFill="1" applyBorder="1" applyAlignment="1" applyProtection="1">
      <alignment horizontal="center" vertical="center" wrapText="1"/>
    </xf>
    <xf numFmtId="0" fontId="11" fillId="12" borderId="18" xfId="0" applyFont="1" applyFill="1" applyBorder="1" applyAlignment="1" applyProtection="1">
      <alignment horizontal="center" vertical="center" wrapText="1"/>
    </xf>
    <xf numFmtId="0" fontId="11" fillId="3" borderId="14" xfId="0" applyFont="1" applyFill="1" applyBorder="1" applyAlignment="1" applyProtection="1">
      <alignment horizontal="center" vertical="center" wrapText="1"/>
    </xf>
    <xf numFmtId="0" fontId="11" fillId="3" borderId="18" xfId="0" applyFont="1" applyFill="1" applyBorder="1" applyAlignment="1" applyProtection="1">
      <alignment horizontal="center" vertical="center" wrapText="1"/>
    </xf>
    <xf numFmtId="0" fontId="54" fillId="0" borderId="0" xfId="0" applyFont="1" applyFill="1" applyAlignment="1" applyProtection="1">
      <alignment horizontal="center"/>
    </xf>
    <xf numFmtId="0" fontId="54" fillId="0" borderId="0" xfId="0" applyFont="1" applyFill="1" applyAlignment="1" applyProtection="1">
      <alignment horizontal="center"/>
      <protection locked="0"/>
    </xf>
    <xf numFmtId="0" fontId="11" fillId="9" borderId="14" xfId="0" applyFont="1" applyFill="1" applyBorder="1" applyAlignment="1" applyProtection="1">
      <alignment horizontal="center" vertical="center"/>
    </xf>
    <xf numFmtId="0" fontId="11" fillId="9" borderId="18" xfId="0" applyFont="1" applyFill="1" applyBorder="1" applyAlignment="1" applyProtection="1">
      <alignment horizontal="center" vertical="center"/>
    </xf>
    <xf numFmtId="0" fontId="11" fillId="10" borderId="14" xfId="0" applyFont="1" applyFill="1" applyBorder="1" applyAlignment="1" applyProtection="1">
      <alignment horizontal="center" vertical="center"/>
    </xf>
    <xf numFmtId="0" fontId="11" fillId="10" borderId="18" xfId="0" applyFont="1" applyFill="1" applyBorder="1" applyAlignment="1" applyProtection="1">
      <alignment horizontal="center" vertical="center"/>
    </xf>
    <xf numFmtId="0" fontId="5" fillId="4" borderId="14" xfId="0" applyFont="1" applyFill="1" applyBorder="1" applyAlignment="1" applyProtection="1">
      <alignment horizontal="center" vertical="center"/>
    </xf>
    <xf numFmtId="0" fontId="5" fillId="4" borderId="18" xfId="0" applyFont="1" applyFill="1" applyBorder="1" applyAlignment="1" applyProtection="1">
      <alignment horizontal="center" vertical="center"/>
    </xf>
    <xf numFmtId="0" fontId="5" fillId="4" borderId="12" xfId="0" applyFont="1" applyFill="1" applyBorder="1" applyAlignment="1" applyProtection="1">
      <alignment horizontal="center" vertical="center"/>
    </xf>
    <xf numFmtId="0" fontId="74" fillId="0" borderId="44" xfId="0" applyFont="1" applyFill="1" applyBorder="1" applyAlignment="1" applyProtection="1">
      <alignment horizontal="center" vertical="center"/>
    </xf>
    <xf numFmtId="0" fontId="74" fillId="0" borderId="66" xfId="0" applyFont="1" applyFill="1" applyBorder="1" applyAlignment="1" applyProtection="1">
      <alignment horizontal="center" vertical="center"/>
    </xf>
    <xf numFmtId="0" fontId="74" fillId="0" borderId="36" xfId="0" applyFont="1" applyFill="1" applyBorder="1" applyAlignment="1" applyProtection="1">
      <alignment horizontal="center" vertical="center"/>
    </xf>
    <xf numFmtId="0" fontId="74" fillId="0" borderId="67" xfId="0" applyFont="1" applyFill="1" applyBorder="1" applyAlignment="1" applyProtection="1">
      <alignment horizontal="center" vertical="center"/>
    </xf>
    <xf numFmtId="0" fontId="79" fillId="0" borderId="68" xfId="0" applyFont="1" applyFill="1" applyBorder="1" applyAlignment="1" applyProtection="1">
      <alignment horizontal="center" vertical="center" wrapText="1"/>
    </xf>
    <xf numFmtId="0" fontId="79" fillId="0" borderId="18" xfId="0" applyFont="1" applyFill="1" applyBorder="1" applyAlignment="1" applyProtection="1">
      <alignment horizontal="center" vertical="center" wrapText="1"/>
    </xf>
    <xf numFmtId="0" fontId="79" fillId="0" borderId="69" xfId="0" applyFont="1" applyFill="1" applyBorder="1" applyAlignment="1" applyProtection="1">
      <alignment horizontal="center" vertical="center" wrapText="1"/>
    </xf>
    <xf numFmtId="0" fontId="27" fillId="0" borderId="64" xfId="0" applyFont="1" applyFill="1" applyBorder="1" applyAlignment="1" applyProtection="1">
      <alignment horizontal="left" vertical="top" wrapText="1"/>
    </xf>
    <xf numFmtId="0" fontId="27" fillId="0" borderId="65" xfId="0" applyFont="1" applyFill="1" applyBorder="1" applyAlignment="1" applyProtection="1">
      <alignment horizontal="left" vertical="top" wrapText="1"/>
    </xf>
    <xf numFmtId="0" fontId="22" fillId="3" borderId="18" xfId="0" applyFont="1" applyFill="1" applyBorder="1" applyAlignment="1" applyProtection="1">
      <alignment horizontal="left" wrapText="1"/>
    </xf>
    <xf numFmtId="0" fontId="22" fillId="3" borderId="12" xfId="0" applyFont="1" applyFill="1" applyBorder="1" applyAlignment="1" applyProtection="1">
      <alignment horizontal="left" wrapText="1"/>
    </xf>
    <xf numFmtId="0" fontId="5" fillId="0" borderId="9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5" fillId="10" borderId="9" xfId="0" applyFont="1" applyFill="1" applyBorder="1" applyAlignment="1" applyProtection="1">
      <alignment horizontal="center"/>
    </xf>
    <xf numFmtId="0" fontId="5" fillId="10" borderId="6" xfId="0" applyFont="1" applyFill="1" applyBorder="1" applyAlignment="1" applyProtection="1">
      <alignment horizontal="center"/>
    </xf>
    <xf numFmtId="0" fontId="5" fillId="0" borderId="9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65" fillId="2" borderId="18" xfId="0" applyFont="1" applyFill="1" applyBorder="1" applyAlignment="1" applyProtection="1">
      <alignment horizontal="left" wrapText="1"/>
    </xf>
    <xf numFmtId="0" fontId="65" fillId="2" borderId="12" xfId="0" applyFont="1" applyFill="1" applyBorder="1" applyAlignment="1" applyProtection="1">
      <alignment horizontal="left" wrapText="1"/>
    </xf>
    <xf numFmtId="0" fontId="65" fillId="2" borderId="18" xfId="0" applyFont="1" applyFill="1" applyBorder="1" applyAlignment="1" applyProtection="1">
      <alignment horizontal="left" vertical="top" wrapText="1"/>
    </xf>
    <xf numFmtId="0" fontId="65" fillId="2" borderId="12" xfId="0" applyFont="1" applyFill="1" applyBorder="1" applyAlignment="1" applyProtection="1">
      <alignment horizontal="left" vertical="top" wrapText="1"/>
    </xf>
    <xf numFmtId="0" fontId="49" fillId="0" borderId="0" xfId="0" applyFont="1" applyAlignment="1" applyProtection="1">
      <alignment horizontal="left" vertical="top" wrapText="1"/>
    </xf>
    <xf numFmtId="0" fontId="48" fillId="0" borderId="0" xfId="4" applyFont="1" applyBorder="1" applyAlignment="1">
      <alignment horizontal="left" vertical="top" wrapText="1"/>
    </xf>
    <xf numFmtId="0" fontId="39" fillId="0" borderId="0" xfId="4" applyFont="1" applyBorder="1" applyAlignment="1">
      <alignment horizontal="left" wrapText="1"/>
    </xf>
    <xf numFmtId="0" fontId="39" fillId="0" borderId="0" xfId="4" applyFont="1" applyBorder="1" applyAlignment="1">
      <alignment horizontal="left"/>
    </xf>
    <xf numFmtId="0" fontId="94" fillId="0" borderId="0" xfId="4" applyFont="1" applyAlignment="1">
      <alignment horizontal="center"/>
    </xf>
    <xf numFmtId="0" fontId="76" fillId="0" borderId="0" xfId="4" applyFont="1" applyBorder="1" applyAlignment="1">
      <alignment horizontal="center" vertical="top" wrapText="1"/>
    </xf>
    <xf numFmtId="0" fontId="76" fillId="0" borderId="0" xfId="4" applyFont="1" applyBorder="1" applyAlignment="1"/>
    <xf numFmtId="0" fontId="45" fillId="0" borderId="0" xfId="4" applyFont="1" applyFill="1" applyBorder="1" applyAlignment="1">
      <alignment horizontal="center"/>
    </xf>
    <xf numFmtId="0" fontId="39" fillId="0" borderId="0" xfId="4" applyFont="1" applyBorder="1" applyAlignment="1">
      <alignment horizontal="left" vertical="top" wrapText="1"/>
    </xf>
    <xf numFmtId="0" fontId="48" fillId="0" borderId="0" xfId="4" applyFont="1" applyBorder="1" applyAlignment="1">
      <alignment horizontal="left" wrapText="1"/>
    </xf>
    <xf numFmtId="0" fontId="48" fillId="0" borderId="0" xfId="4" applyFont="1" applyBorder="1" applyAlignment="1">
      <alignment vertical="top" wrapText="1"/>
    </xf>
    <xf numFmtId="0" fontId="45" fillId="0" borderId="14" xfId="4" applyFont="1" applyBorder="1" applyAlignment="1">
      <alignment horizontal="center"/>
    </xf>
    <xf numFmtId="0" fontId="45" fillId="0" borderId="12" xfId="4" applyFont="1" applyBorder="1" applyAlignment="1">
      <alignment horizontal="center"/>
    </xf>
    <xf numFmtId="0" fontId="45" fillId="0" borderId="16" xfId="4" applyFont="1" applyBorder="1" applyAlignment="1">
      <alignment horizontal="left" vertical="top" wrapText="1"/>
    </xf>
    <xf numFmtId="0" fontId="45" fillId="0" borderId="19" xfId="4" applyFont="1" applyBorder="1" applyAlignment="1"/>
    <xf numFmtId="0" fontId="45" fillId="0" borderId="15" xfId="4" applyFont="1" applyBorder="1" applyAlignment="1"/>
    <xf numFmtId="0" fontId="48" fillId="0" borderId="19" xfId="4" applyFont="1" applyBorder="1" applyAlignment="1">
      <alignment wrapText="1"/>
    </xf>
    <xf numFmtId="0" fontId="48" fillId="0" borderId="0" xfId="4" applyFont="1" applyBorder="1" applyAlignment="1">
      <alignment wrapText="1"/>
    </xf>
    <xf numFmtId="0" fontId="45" fillId="0" borderId="5" xfId="4" applyFont="1" applyBorder="1" applyAlignment="1">
      <alignment vertical="top" wrapText="1"/>
    </xf>
    <xf numFmtId="0" fontId="48" fillId="0" borderId="0" xfId="4" applyFont="1" applyBorder="1" applyAlignment="1"/>
    <xf numFmtId="0" fontId="39" fillId="0" borderId="0" xfId="4" applyFont="1" applyBorder="1" applyAlignment="1">
      <alignment wrapText="1"/>
    </xf>
    <xf numFmtId="0" fontId="59" fillId="0" borderId="0" xfId="4" applyFont="1" applyBorder="1" applyAlignment="1">
      <alignment vertical="top" wrapText="1"/>
    </xf>
    <xf numFmtId="0" fontId="59" fillId="0" borderId="0" xfId="4" applyFont="1" applyBorder="1" applyAlignment="1"/>
    <xf numFmtId="0" fontId="48" fillId="0" borderId="0" xfId="4" applyFont="1" applyBorder="1" applyAlignment="1">
      <alignment vertical="top"/>
    </xf>
    <xf numFmtId="0" fontId="48" fillId="0" borderId="14" xfId="4" quotePrefix="1" applyFont="1" applyBorder="1" applyAlignment="1">
      <alignment vertical="top" wrapText="1"/>
    </xf>
    <xf numFmtId="0" fontId="48" fillId="0" borderId="12" xfId="4" applyFont="1" applyBorder="1" applyAlignment="1">
      <alignment vertical="top" wrapText="1"/>
    </xf>
    <xf numFmtId="0" fontId="48" fillId="0" borderId="5" xfId="4" applyFont="1" applyBorder="1" applyAlignment="1">
      <alignment horizontal="left" vertical="top" wrapText="1"/>
    </xf>
    <xf numFmtId="0" fontId="48" fillId="0" borderId="0" xfId="4" applyFont="1" applyAlignment="1"/>
    <xf numFmtId="0" fontId="39" fillId="0" borderId="0" xfId="4" applyFont="1" applyBorder="1" applyAlignment="1">
      <alignment vertical="top" wrapText="1"/>
    </xf>
    <xf numFmtId="0" fontId="48" fillId="0" borderId="0" xfId="4" applyFont="1" applyFill="1" applyBorder="1" applyAlignment="1">
      <alignment wrapText="1"/>
    </xf>
    <xf numFmtId="0" fontId="38" fillId="0" borderId="0" xfId="4" applyFont="1" applyFill="1" applyBorder="1" applyAlignment="1">
      <alignment horizontal="left" vertical="center" wrapText="1"/>
    </xf>
    <xf numFmtId="0" fontId="38" fillId="0" borderId="0" xfId="4" applyFont="1" applyFill="1" applyBorder="1" applyAlignment="1">
      <alignment horizontal="left" vertical="top" wrapText="1"/>
    </xf>
    <xf numFmtId="0" fontId="61" fillId="0" borderId="0" xfId="4" applyFont="1" applyBorder="1" applyAlignment="1">
      <alignment horizontal="center" vertical="top" wrapText="1"/>
    </xf>
    <xf numFmtId="0" fontId="39" fillId="0" borderId="14" xfId="4" applyFont="1" applyFill="1" applyBorder="1" applyAlignment="1">
      <alignment horizontal="center"/>
    </xf>
    <xf numFmtId="0" fontId="39" fillId="0" borderId="12" xfId="4" applyFont="1" applyFill="1" applyBorder="1" applyAlignment="1">
      <alignment horizontal="center"/>
    </xf>
    <xf numFmtId="0" fontId="38" fillId="0" borderId="10" xfId="4" applyFont="1" applyFill="1" applyBorder="1" applyAlignment="1">
      <alignment vertical="top" wrapText="1"/>
    </xf>
    <xf numFmtId="0" fontId="38" fillId="0" borderId="0" xfId="4" applyFont="1" applyFill="1" applyBorder="1" applyAlignment="1">
      <alignment vertical="top" wrapText="1"/>
    </xf>
    <xf numFmtId="0" fontId="38" fillId="0" borderId="7" xfId="4" applyFont="1" applyFill="1" applyBorder="1" applyAlignment="1">
      <alignment vertical="top" wrapText="1"/>
    </xf>
    <xf numFmtId="0" fontId="38" fillId="0" borderId="10" xfId="4" applyFont="1" applyBorder="1" applyAlignment="1">
      <alignment vertical="top" wrapText="1"/>
    </xf>
    <xf numFmtId="0" fontId="45" fillId="0" borderId="1" xfId="4" applyFont="1" applyBorder="1" applyAlignment="1">
      <alignment vertical="top" wrapText="1"/>
    </xf>
    <xf numFmtId="0" fontId="61" fillId="0" borderId="19" xfId="4" applyFont="1" applyBorder="1" applyAlignment="1">
      <alignment horizontal="center" vertical="top" wrapText="1"/>
    </xf>
    <xf numFmtId="0" fontId="76" fillId="0" borderId="19" xfId="3" applyFont="1" applyBorder="1" applyAlignment="1">
      <alignment horizontal="center" vertical="top" wrapText="1"/>
    </xf>
    <xf numFmtId="0" fontId="76" fillId="0" borderId="19" xfId="3" applyFont="1" applyBorder="1" applyAlignment="1">
      <alignment horizontal="center"/>
    </xf>
    <xf numFmtId="0" fontId="38" fillId="0" borderId="7" xfId="3" applyFont="1" applyFill="1" applyBorder="1" applyAlignment="1">
      <alignment vertical="top" wrapText="1"/>
    </xf>
    <xf numFmtId="0" fontId="18" fillId="0" borderId="7" xfId="3" applyFont="1" applyBorder="1" applyAlignment="1">
      <alignment vertical="top" wrapText="1"/>
    </xf>
    <xf numFmtId="0" fontId="2" fillId="0" borderId="0" xfId="0" applyFont="1" applyProtection="1">
      <protection locked="0"/>
    </xf>
  </cellXfs>
  <cellStyles count="5">
    <cellStyle name="Normal" xfId="0" builtinId="0"/>
    <cellStyle name="Normal 2" xfId="1"/>
    <cellStyle name="Normal 3" xfId="2"/>
    <cellStyle name="Normal 4" xfId="3"/>
    <cellStyle name="Normal 4 2" xfId="4"/>
  </cellStyles>
  <dxfs count="5"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CC0000"/>
      </font>
      <fill>
        <patternFill>
          <bgColor rgb="FFFF9999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view3D>
      <c:rotX val="30"/>
      <c:perspective val="30"/>
    </c:view3D>
    <c:plotArea>
      <c:layout>
        <c:manualLayout>
          <c:layoutTarget val="inner"/>
          <c:xMode val="edge"/>
          <c:yMode val="edge"/>
          <c:x val="0.30891118977335091"/>
          <c:y val="0.26976744186046531"/>
          <c:w val="0.44158458538113532"/>
          <c:h val="0.64651162790697669"/>
        </c:manualLayout>
      </c:layout>
      <c:pie3DChart>
        <c:varyColors val="1"/>
        <c:ser>
          <c:idx val="0"/>
          <c:order val="0"/>
          <c:explosion val="25"/>
          <c:dPt>
            <c:idx val="0"/>
            <c:spPr>
              <a:solidFill>
                <a:srgbClr val="FF99CC"/>
              </a:solidFill>
            </c:spPr>
          </c:dPt>
          <c:dPt>
            <c:idx val="1"/>
            <c:spPr>
              <a:solidFill>
                <a:srgbClr val="FF9966"/>
              </a:solidFill>
            </c:spPr>
          </c:dPt>
          <c:dPt>
            <c:idx val="2"/>
            <c:spPr>
              <a:solidFill>
                <a:srgbClr val="CCFFCC"/>
              </a:solidFill>
            </c:spPr>
          </c:dPt>
          <c:dPt>
            <c:idx val="3"/>
            <c:spPr>
              <a:solidFill>
                <a:srgbClr val="CCFFFF"/>
              </a:solidFill>
            </c:spPr>
          </c:dPt>
          <c:dPt>
            <c:idx val="4"/>
            <c:spPr>
              <a:solidFill>
                <a:srgbClr val="9999FF"/>
              </a:solidFill>
            </c:spPr>
          </c:dPt>
          <c:dPt>
            <c:idx val="5"/>
            <c:spPr>
              <a:solidFill>
                <a:srgbClr val="FFFF99"/>
              </a:solidFill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th-TH"/>
              </a:p>
            </c:txPr>
            <c:showVal val="1"/>
            <c:showCatName val="1"/>
            <c:showLeaderLines val="1"/>
          </c:dLbls>
          <c:cat>
            <c:strRef>
              <c:f>(การคำนวณ!$A$22:$A$23,การคำนวณ!$A$25:$A$28)</c:f>
              <c:strCache>
                <c:ptCount val="6"/>
                <c:pt idx="0">
                  <c:v>1. ภาระงานบริหาร</c:v>
                </c:pt>
                <c:pt idx="1">
                  <c:v>2. ภาระงานอื่นๆ ที่ได้รับมอบหมาย</c:v>
                </c:pt>
                <c:pt idx="2">
                  <c:v>   3.1 ภาระงานการเรียนการสอน</c:v>
                </c:pt>
                <c:pt idx="3">
                  <c:v>   3.2 ภาระงานวิจัยฯ</c:v>
                </c:pt>
                <c:pt idx="4">
                  <c:v>   3.3 ภาระงานบริการวิชาการ</c:v>
                </c:pt>
                <c:pt idx="5">
                  <c:v>   3.4 ภาระงานทำนุบำรุงศิลปวัฒนธรรม</c:v>
                </c:pt>
              </c:strCache>
            </c:strRef>
          </c:cat>
          <c:val>
            <c:numRef>
              <c:f>(การคำนวณ!$J$22:$J$23,การคำนวณ!$J$25:$J$28)</c:f>
              <c:numCache>
                <c:formatCode>0.00</c:formatCode>
                <c:ptCount val="6"/>
                <c:pt idx="0">
                  <c:v>5</c:v>
                </c:pt>
                <c:pt idx="1">
                  <c:v>7.6000000000000005</c:v>
                </c:pt>
                <c:pt idx="2">
                  <c:v>36.653333333333336</c:v>
                </c:pt>
                <c:pt idx="3">
                  <c:v>21.247999999999998</c:v>
                </c:pt>
                <c:pt idx="4">
                  <c:v>11.933333333333335</c:v>
                </c:pt>
                <c:pt idx="5">
                  <c:v>3.9333333333333327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noFill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1228725</xdr:colOff>
      <xdr:row>15</xdr:row>
      <xdr:rowOff>0</xdr:rowOff>
    </xdr:from>
    <xdr:to>
      <xdr:col>2</xdr:col>
      <xdr:colOff>22</xdr:colOff>
      <xdr:row>15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28725" y="4524375"/>
          <a:ext cx="25527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ข้าราชการ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2</xdr:col>
      <xdr:colOff>1905</xdr:colOff>
      <xdr:row>15</xdr:row>
      <xdr:rowOff>0</xdr:rowOff>
    </xdr:from>
    <xdr:to>
      <xdr:col>2</xdr:col>
      <xdr:colOff>1905</xdr:colOff>
      <xdr:row>15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781425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0" i="0" u="none" strike="noStrike" baseline="0">
              <a:solidFill>
                <a:srgbClr val="000000"/>
              </a:solidFill>
              <a:latin typeface="Tw Cen MT"/>
            </a:rPr>
            <a:t>√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</xdr:col>
      <xdr:colOff>2638425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3781425" y="4524375"/>
          <a:ext cx="57245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 ผู้ช่วยศาสตราจารย์  ระดับ ....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สังกัด   ......................................................................................................................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 ปริญญาโท</a:t>
          </a:r>
        </a:p>
      </xdr:txBody>
    </xdr:sp>
    <xdr:clientData/>
  </xdr:twoCellAnchor>
  <xdr:twoCellAnchor>
    <xdr:from>
      <xdr:col>0</xdr:col>
      <xdr:colOff>76200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76200" y="4524375"/>
          <a:ext cx="942975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[  ]  ครั้งที่ 2/25….....  :      วันที่  1  เมษายน  ……       ถึง วันที่  30  กันยายน …….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1</xdr:col>
      <xdr:colOff>809625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3781425" y="4524375"/>
          <a:ext cx="57245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บุคลากร</a:t>
          </a:r>
          <a:endParaRPr lang="th-TH" sz="1400" b="0" i="0" u="none" strike="noStrike" baseline="0">
            <a:solidFill>
              <a:srgbClr val="000000"/>
            </a:solidFill>
            <a:latin typeface="TH Niramit AS"/>
            <a:cs typeface="TH Niramit AS"/>
          </a:endParaRP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1</xdr:col>
      <xdr:colOff>38100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3105150" y="4524375"/>
          <a:ext cx="64008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ชื่อผู้รับการประเมิน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นางสาวมยุรี  แก้วประภา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1</xdr:col>
      <xdr:colOff>1009650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3781425" y="4524375"/>
          <a:ext cx="57245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ข้าราชการ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</xdr:col>
      <xdr:colOff>1066800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3781425" y="4524375"/>
          <a:ext cx="57245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ผู้อำนวยการกอง หรือเทียบเท่า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1</xdr:col>
      <xdr:colOff>1000125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3781425" y="4524375"/>
          <a:ext cx="57245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</a:t>
          </a: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1</xdr:col>
      <xdr:colOff>1143000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3781425" y="4524375"/>
          <a:ext cx="57245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บริหาร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0</xdr:col>
      <xdr:colOff>76200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76200" y="4524375"/>
          <a:ext cx="942975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ครั้งที่ 2/25...... :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วันที่  1  เมษายน  ……       ถึง วันที่  30  กันยายน …….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0</xdr:col>
      <xdr:colOff>813435</xdr:colOff>
      <xdr:row>15</xdr:row>
      <xdr:rowOff>0</xdr:rowOff>
    </xdr:from>
    <xdr:to>
      <xdr:col>8</xdr:col>
      <xdr:colOff>942972</xdr:colOff>
      <xdr:row>15</xdr:row>
      <xdr:rowOff>0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809625" y="4524375"/>
          <a:ext cx="86963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บุคลากร</a:t>
          </a:r>
          <a:endParaRPr lang="th-TH" sz="1400" b="0" i="0" u="none" strike="noStrike" baseline="0">
            <a:solidFill>
              <a:srgbClr val="000000"/>
            </a:solidFill>
            <a:latin typeface="TH Niramit AS"/>
            <a:cs typeface="TH Niramit AS"/>
          </a:endParaRP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0</xdr:col>
      <xdr:colOff>38100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38100" y="4524375"/>
          <a:ext cx="946785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ชื่อผู้รับการประเมิน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นางสาวมยุรี  แก้วประภา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0</xdr:col>
      <xdr:colOff>1003935</xdr:colOff>
      <xdr:row>15</xdr:row>
      <xdr:rowOff>0</xdr:rowOff>
    </xdr:from>
    <xdr:to>
      <xdr:col>8</xdr:col>
      <xdr:colOff>939161</xdr:colOff>
      <xdr:row>15</xdr:row>
      <xdr:rowOff>0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1009650" y="4524375"/>
          <a:ext cx="84963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ข้าราชการ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0</xdr:col>
      <xdr:colOff>1068705</xdr:colOff>
      <xdr:row>15</xdr:row>
      <xdr:rowOff>0</xdr:rowOff>
    </xdr:from>
    <xdr:to>
      <xdr:col>8</xdr:col>
      <xdr:colOff>942969</xdr:colOff>
      <xdr:row>15</xdr:row>
      <xdr:rowOff>0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1066800" y="4524375"/>
          <a:ext cx="843915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ผู้อำนวยการกอง หรือเทียบเท่า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0</xdr:col>
      <xdr:colOff>1002030</xdr:colOff>
      <xdr:row>15</xdr:row>
      <xdr:rowOff>0</xdr:rowOff>
    </xdr:from>
    <xdr:to>
      <xdr:col>9</xdr:col>
      <xdr:colOff>1</xdr:colOff>
      <xdr:row>15</xdr:row>
      <xdr:rowOff>0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1000125" y="4524375"/>
          <a:ext cx="85058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</a:t>
          </a: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0</xdr:col>
      <xdr:colOff>1144905</xdr:colOff>
      <xdr:row>15</xdr:row>
      <xdr:rowOff>0</xdr:rowOff>
    </xdr:from>
    <xdr:to>
      <xdr:col>8</xdr:col>
      <xdr:colOff>942968</xdr:colOff>
      <xdr:row>15</xdr:row>
      <xdr:rowOff>0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1143000" y="4524375"/>
          <a:ext cx="836295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บริหาร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0</xdr:col>
      <xdr:colOff>76200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76200" y="4524375"/>
          <a:ext cx="942975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ครั้งที่ 2/25...... :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วันที่  1  เมษายน  ……       ถึง วันที่  30  กันยายน …….</a:t>
          </a:r>
        </a:p>
      </xdr:txBody>
    </xdr:sp>
    <xdr:clientData/>
  </xdr:twoCellAnchor>
  <xdr:twoCellAnchor>
    <xdr:from>
      <xdr:col>0</xdr:col>
      <xdr:colOff>1230630</xdr:colOff>
      <xdr:row>15</xdr:row>
      <xdr:rowOff>0</xdr:rowOff>
    </xdr:from>
    <xdr:to>
      <xdr:col>1</xdr:col>
      <xdr:colOff>712512</xdr:colOff>
      <xdr:row>15</xdr:row>
      <xdr:rowOff>0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1238250" y="4524375"/>
          <a:ext cx="254317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บริหาร</a:t>
          </a:r>
        </a:p>
      </xdr:txBody>
    </xdr:sp>
    <xdr:clientData/>
  </xdr:twoCellAnchor>
  <xdr:twoCellAnchor>
    <xdr:from>
      <xdr:col>2</xdr:col>
      <xdr:colOff>1905</xdr:colOff>
      <xdr:row>15</xdr:row>
      <xdr:rowOff>0</xdr:rowOff>
    </xdr:from>
    <xdr:to>
      <xdr:col>2</xdr:col>
      <xdr:colOff>1905</xdr:colOff>
      <xdr:row>15</xdr:row>
      <xdr:rowOff>0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3781425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√ ]  วิชาชีพเฉพาะหรือเชี่ยวชาญเฉพาะ</a:t>
          </a:r>
        </a:p>
      </xdr:txBody>
    </xdr:sp>
    <xdr:clientData/>
  </xdr:twoCellAnchor>
  <xdr:twoCellAnchor>
    <xdr:from>
      <xdr:col>1</xdr:col>
      <xdr:colOff>3324225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3781425" y="4524375"/>
          <a:ext cx="57245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 ]  ทั่วไป</a:t>
          </a:r>
        </a:p>
      </xdr:txBody>
    </xdr:sp>
    <xdr:clientData/>
  </xdr:twoCellAnchor>
  <xdr:twoCellAnchor>
    <xdr:from>
      <xdr:col>0</xdr:col>
      <xdr:colOff>1228725</xdr:colOff>
      <xdr:row>9</xdr:row>
      <xdr:rowOff>11430</xdr:rowOff>
    </xdr:from>
    <xdr:to>
      <xdr:col>0</xdr:col>
      <xdr:colOff>2514546</xdr:colOff>
      <xdr:row>10</xdr:row>
      <xdr:rowOff>115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1228725" y="2771775"/>
          <a:ext cx="1285875" cy="2667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[/ ]  ข้าราชการ</a:t>
          </a:r>
        </a:p>
      </xdr:txBody>
    </xdr:sp>
    <xdr:clientData/>
  </xdr:twoCellAnchor>
  <xdr:twoCellAnchor>
    <xdr:from>
      <xdr:col>9</xdr:col>
      <xdr:colOff>0</xdr:colOff>
      <xdr:row>9</xdr:row>
      <xdr:rowOff>11430</xdr:rowOff>
    </xdr:from>
    <xdr:to>
      <xdr:col>9</xdr:col>
      <xdr:colOff>0</xdr:colOff>
      <xdr:row>9</xdr:row>
      <xdr:rowOff>282141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9505950" y="2771775"/>
          <a:ext cx="0" cy="2667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</a:t>
          </a:r>
        </a:p>
      </xdr:txBody>
    </xdr:sp>
    <xdr:clientData/>
  </xdr:twoCellAnchor>
  <xdr:twoCellAnchor>
    <xdr:from>
      <xdr:col>9</xdr:col>
      <xdr:colOff>0</xdr:colOff>
      <xdr:row>9</xdr:row>
      <xdr:rowOff>9525</xdr:rowOff>
    </xdr:from>
    <xdr:to>
      <xdr:col>9</xdr:col>
      <xdr:colOff>0</xdr:colOff>
      <xdr:row>9</xdr:row>
      <xdr:rowOff>285750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9505950" y="2762250"/>
          <a:ext cx="0" cy="2762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9</xdr:col>
      <xdr:colOff>0</xdr:colOff>
      <xdr:row>9</xdr:row>
      <xdr:rowOff>9525</xdr:rowOff>
    </xdr:from>
    <xdr:to>
      <xdr:col>9</xdr:col>
      <xdr:colOff>0</xdr:colOff>
      <xdr:row>9</xdr:row>
      <xdr:rowOff>285750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9505950" y="2762250"/>
          <a:ext cx="0" cy="2762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9</xdr:col>
      <xdr:colOff>0</xdr:colOff>
      <xdr:row>9</xdr:row>
      <xdr:rowOff>9525</xdr:rowOff>
    </xdr:from>
    <xdr:to>
      <xdr:col>9</xdr:col>
      <xdr:colOff>0</xdr:colOff>
      <xdr:row>9</xdr:row>
      <xdr:rowOff>285750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9505950" y="2762250"/>
          <a:ext cx="0" cy="2762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2</xdr:col>
      <xdr:colOff>1905</xdr:colOff>
      <xdr:row>9</xdr:row>
      <xdr:rowOff>28575</xdr:rowOff>
    </xdr:from>
    <xdr:to>
      <xdr:col>2</xdr:col>
      <xdr:colOff>0</xdr:colOff>
      <xdr:row>11</xdr:row>
      <xdr:rowOff>11457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3781425" y="2781300"/>
          <a:ext cx="0" cy="56197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</a:t>
          </a:r>
        </a:p>
      </xdr:txBody>
    </xdr:sp>
    <xdr:clientData/>
  </xdr:twoCellAnchor>
  <xdr:twoCellAnchor>
    <xdr:from>
      <xdr:col>5</xdr:col>
      <xdr:colOff>274320</xdr:colOff>
      <xdr:row>9</xdr:row>
      <xdr:rowOff>28575</xdr:rowOff>
    </xdr:from>
    <xdr:to>
      <xdr:col>8</xdr:col>
      <xdr:colOff>586740</xdr:colOff>
      <xdr:row>10</xdr:row>
      <xdr:rowOff>38100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6096000" y="2781300"/>
          <a:ext cx="3048000" cy="29527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</xdr:col>
      <xdr:colOff>937260</xdr:colOff>
      <xdr:row>10</xdr:row>
      <xdr:rowOff>0</xdr:rowOff>
    </xdr:from>
    <xdr:to>
      <xdr:col>1</xdr:col>
      <xdr:colOff>2240280</xdr:colOff>
      <xdr:row>11</xdr:row>
      <xdr:rowOff>15240</xdr:rowOff>
    </xdr:to>
    <xdr:sp macro="" textlink="">
      <xdr:nvSpPr>
        <xdr:cNvPr id="720774" name="Text Box 84"/>
        <xdr:cNvSpPr txBox="1">
          <a:spLocks noChangeArrowheads="1"/>
        </xdr:cNvSpPr>
      </xdr:nvSpPr>
      <xdr:spPr bwMode="auto">
        <a:xfrm>
          <a:off x="3886200" y="2895600"/>
          <a:ext cx="0" cy="28956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0</xdr:col>
      <xdr:colOff>1228725</xdr:colOff>
      <xdr:row>9</xdr:row>
      <xdr:rowOff>278130</xdr:rowOff>
    </xdr:from>
    <xdr:to>
      <xdr:col>0</xdr:col>
      <xdr:colOff>2440214</xdr:colOff>
      <xdr:row>11</xdr:row>
      <xdr:rowOff>11710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1228725" y="3028950"/>
          <a:ext cx="1209675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9</xdr:col>
      <xdr:colOff>0</xdr:colOff>
      <xdr:row>11</xdr:row>
      <xdr:rowOff>11430</xdr:rowOff>
    </xdr:from>
    <xdr:to>
      <xdr:col>9</xdr:col>
      <xdr:colOff>0</xdr:colOff>
      <xdr:row>12</xdr:row>
      <xdr:rowOff>115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9505950" y="3343275"/>
          <a:ext cx="0" cy="2667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 ผู้ช่วยศาสตราจารย์  ระดับ ....</a:t>
          </a:r>
        </a:p>
      </xdr:txBody>
    </xdr:sp>
    <xdr:clientData/>
  </xdr:twoCellAnchor>
  <xdr:twoCellAnchor>
    <xdr:from>
      <xdr:col>9</xdr:col>
      <xdr:colOff>0</xdr:colOff>
      <xdr:row>11</xdr:row>
      <xdr:rowOff>11430</xdr:rowOff>
    </xdr:from>
    <xdr:to>
      <xdr:col>9</xdr:col>
      <xdr:colOff>0</xdr:colOff>
      <xdr:row>11</xdr:row>
      <xdr:rowOff>242018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9505950" y="3343275"/>
          <a:ext cx="0" cy="2286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สังกัด   ......................................................................................................................</a:t>
          </a:r>
        </a:p>
      </xdr:txBody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9505950" y="36099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 ปริญญาโท</a:t>
          </a:r>
        </a:p>
      </xdr:txBody>
    </xdr:sp>
    <xdr:clientData/>
  </xdr:twoCellAnchor>
  <xdr:twoCellAnchor>
    <xdr:from>
      <xdr:col>0</xdr:col>
      <xdr:colOff>76200</xdr:colOff>
      <xdr:row>13</xdr:row>
      <xdr:rowOff>28575</xdr:rowOff>
    </xdr:from>
    <xdr:to>
      <xdr:col>9</xdr:col>
      <xdr:colOff>0</xdr:colOff>
      <xdr:row>13</xdr:row>
      <xdr:rowOff>247650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76200" y="3924300"/>
          <a:ext cx="9429750" cy="21907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[   ]  ครั้งที่ 2/...................  :    วันที่   .....................    ถึง วันที่ ............................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950595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1</xdr:col>
      <xdr:colOff>809625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3781425" y="1885950"/>
          <a:ext cx="57245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บุคลากร</a:t>
          </a:r>
          <a:endParaRPr lang="th-TH" sz="1400" b="0" i="0" u="none" strike="noStrike" baseline="0">
            <a:solidFill>
              <a:srgbClr val="000000"/>
            </a:solidFill>
            <a:latin typeface="TH Niramit AS"/>
            <a:cs typeface="TH Niramit AS"/>
          </a:endParaRP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1</xdr:col>
      <xdr:colOff>38100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3105150" y="1885950"/>
          <a:ext cx="64008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ชื่อผู้รับการประเมิน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นางสาวมยุรี  แก้วประภา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950595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950595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950595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1</xdr:col>
      <xdr:colOff>1009650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3781425" y="1885950"/>
          <a:ext cx="57245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ข้าราชการ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950595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950595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950595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950595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</xdr:col>
      <xdr:colOff>1066800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3781425" y="1885950"/>
          <a:ext cx="57245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ผู้อำนวยการกอง หรือเทียบเท่า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950595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950595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1</xdr:col>
      <xdr:colOff>1000125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3781425" y="1885950"/>
          <a:ext cx="57245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</a:t>
          </a: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1</xdr:col>
      <xdr:colOff>1143000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3781425" y="1885950"/>
          <a:ext cx="57245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บริหาร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950595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950595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0</xdr:col>
      <xdr:colOff>76200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76200" y="1885950"/>
          <a:ext cx="942975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ครั้งที่ 2/25...... :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วันที่  1  เมษายน  ……       ถึง วันที่  30  กันยายน …….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950595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0</xdr:col>
      <xdr:colOff>813435</xdr:colOff>
      <xdr:row>6</xdr:row>
      <xdr:rowOff>0</xdr:rowOff>
    </xdr:from>
    <xdr:to>
      <xdr:col>8</xdr:col>
      <xdr:colOff>942972</xdr:colOff>
      <xdr:row>6</xdr:row>
      <xdr:rowOff>0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809625" y="1885950"/>
          <a:ext cx="86963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บุคลากร</a:t>
          </a:r>
          <a:endParaRPr lang="th-TH" sz="1400" b="0" i="0" u="none" strike="noStrike" baseline="0">
            <a:solidFill>
              <a:srgbClr val="000000"/>
            </a:solidFill>
            <a:latin typeface="TH Niramit AS"/>
            <a:cs typeface="TH Niramit AS"/>
          </a:endParaRP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0</xdr:col>
      <xdr:colOff>38100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38100" y="1885950"/>
          <a:ext cx="946785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ชื่อผู้รับการประเมิน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นางสาวมยุรี  แก้วประภา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950595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950595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950595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0</xdr:col>
      <xdr:colOff>1003935</xdr:colOff>
      <xdr:row>6</xdr:row>
      <xdr:rowOff>0</xdr:rowOff>
    </xdr:from>
    <xdr:to>
      <xdr:col>8</xdr:col>
      <xdr:colOff>939161</xdr:colOff>
      <xdr:row>6</xdr:row>
      <xdr:rowOff>0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1009650" y="1885950"/>
          <a:ext cx="84963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ข้าราชการ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950595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950595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950595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950595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0</xdr:col>
      <xdr:colOff>1068705</xdr:colOff>
      <xdr:row>6</xdr:row>
      <xdr:rowOff>0</xdr:rowOff>
    </xdr:from>
    <xdr:to>
      <xdr:col>8</xdr:col>
      <xdr:colOff>942969</xdr:colOff>
      <xdr:row>6</xdr:row>
      <xdr:rowOff>0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1066800" y="1885950"/>
          <a:ext cx="843915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ผู้อำนวยการกอง หรือเทียบเท่า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950595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950595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0</xdr:col>
      <xdr:colOff>1002030</xdr:colOff>
      <xdr:row>6</xdr:row>
      <xdr:rowOff>0</xdr:rowOff>
    </xdr:from>
    <xdr:to>
      <xdr:col>9</xdr:col>
      <xdr:colOff>1</xdr:colOff>
      <xdr:row>6</xdr:row>
      <xdr:rowOff>0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1000125" y="1885950"/>
          <a:ext cx="85058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</a:t>
          </a: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0</xdr:col>
      <xdr:colOff>1144905</xdr:colOff>
      <xdr:row>6</xdr:row>
      <xdr:rowOff>0</xdr:rowOff>
    </xdr:from>
    <xdr:to>
      <xdr:col>8</xdr:col>
      <xdr:colOff>942968</xdr:colOff>
      <xdr:row>6</xdr:row>
      <xdr:rowOff>0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1143000" y="1885950"/>
          <a:ext cx="836295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บริหาร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950595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950595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0</xdr:col>
      <xdr:colOff>76200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76200" y="1885950"/>
          <a:ext cx="942975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ครั้งที่ 2/25...... :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วันที่  1  เมษายน  ……       ถึง วันที่  30  กันยายน …….</a:t>
          </a:r>
        </a:p>
      </xdr:txBody>
    </xdr:sp>
    <xdr:clientData/>
  </xdr:twoCellAnchor>
  <xdr:twoCellAnchor>
    <xdr:from>
      <xdr:col>0</xdr:col>
      <xdr:colOff>1230630</xdr:colOff>
      <xdr:row>11</xdr:row>
      <xdr:rowOff>9525</xdr:rowOff>
    </xdr:from>
    <xdr:to>
      <xdr:col>0</xdr:col>
      <xdr:colOff>2723960</xdr:colOff>
      <xdr:row>12</xdr:row>
      <xdr:rowOff>0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1238250" y="3333750"/>
          <a:ext cx="1485900" cy="2762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อาจารย์</a:t>
          </a:r>
        </a:p>
      </xdr:txBody>
    </xdr:sp>
    <xdr:clientData/>
  </xdr:twoCellAnchor>
  <xdr:twoCellAnchor>
    <xdr:from>
      <xdr:col>1</xdr:col>
      <xdr:colOff>923925</xdr:colOff>
      <xdr:row>11</xdr:row>
      <xdr:rowOff>9525</xdr:rowOff>
    </xdr:from>
    <xdr:to>
      <xdr:col>1</xdr:col>
      <xdr:colOff>3276600</xdr:colOff>
      <xdr:row>12</xdr:row>
      <xdr:rowOff>0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3781425" y="3333750"/>
          <a:ext cx="0" cy="2762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5</xdr:col>
      <xdr:colOff>283845</xdr:colOff>
      <xdr:row>10</xdr:row>
      <xdr:rowOff>28575</xdr:rowOff>
    </xdr:from>
    <xdr:to>
      <xdr:col>6</xdr:col>
      <xdr:colOff>584857</xdr:colOff>
      <xdr:row>11</xdr:row>
      <xdr:rowOff>47625</xdr:rowOff>
    </xdr:to>
    <xdr:sp macro="" textlink="">
      <xdr:nvSpPr>
        <xdr:cNvPr id="131" name="Text Box 131"/>
        <xdr:cNvSpPr txBox="1">
          <a:spLocks noChangeArrowheads="1"/>
        </xdr:cNvSpPr>
      </xdr:nvSpPr>
      <xdr:spPr bwMode="auto">
        <a:xfrm>
          <a:off x="6105525" y="3067050"/>
          <a:ext cx="1409700" cy="3048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ลูกจ้างชั่วคราว</a:t>
          </a:r>
        </a:p>
      </xdr:txBody>
    </xdr:sp>
    <xdr:clientData/>
  </xdr:twoCellAnchor>
  <xdr:twoCellAnchor>
    <xdr:from>
      <xdr:col>3</xdr:col>
      <xdr:colOff>285750</xdr:colOff>
      <xdr:row>0</xdr:row>
      <xdr:rowOff>142875</xdr:rowOff>
    </xdr:from>
    <xdr:to>
      <xdr:col>4</xdr:col>
      <xdr:colOff>704850</xdr:colOff>
      <xdr:row>3</xdr:row>
      <xdr:rowOff>180975</xdr:rowOff>
    </xdr:to>
    <xdr:pic>
      <xdr:nvPicPr>
        <xdr:cNvPr id="547803" name="Picture 132" descr="mj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43450" y="142875"/>
          <a:ext cx="10668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417195</xdr:colOff>
      <xdr:row>10</xdr:row>
      <xdr:rowOff>9525</xdr:rowOff>
    </xdr:from>
    <xdr:to>
      <xdr:col>3</xdr:col>
      <xdr:colOff>236220</xdr:colOff>
      <xdr:row>11</xdr:row>
      <xdr:rowOff>38100</xdr:rowOff>
    </xdr:to>
    <xdr:sp macro="" textlink="">
      <xdr:nvSpPr>
        <xdr:cNvPr id="133" name="Text Box 133"/>
        <xdr:cNvSpPr txBox="1">
          <a:spLocks noChangeArrowheads="1"/>
        </xdr:cNvSpPr>
      </xdr:nvSpPr>
      <xdr:spPr bwMode="auto">
        <a:xfrm>
          <a:off x="3486150" y="3048000"/>
          <a:ext cx="1209675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</xdr:col>
      <xdr:colOff>417195</xdr:colOff>
      <xdr:row>9</xdr:row>
      <xdr:rowOff>9525</xdr:rowOff>
    </xdr:from>
    <xdr:to>
      <xdr:col>3</xdr:col>
      <xdr:colOff>634356</xdr:colOff>
      <xdr:row>10</xdr:row>
      <xdr:rowOff>38100</xdr:rowOff>
    </xdr:to>
    <xdr:sp macro="" textlink="">
      <xdr:nvSpPr>
        <xdr:cNvPr id="134" name="Text Box 134"/>
        <xdr:cNvSpPr txBox="1">
          <a:spLocks noChangeArrowheads="1"/>
        </xdr:cNvSpPr>
      </xdr:nvSpPr>
      <xdr:spPr bwMode="auto">
        <a:xfrm>
          <a:off x="3486150" y="2762250"/>
          <a:ext cx="1609725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</a:t>
          </a:r>
        </a:p>
      </xdr:txBody>
    </xdr:sp>
    <xdr:clientData/>
  </xdr:twoCellAnchor>
  <xdr:twoCellAnchor>
    <xdr:from>
      <xdr:col>0</xdr:col>
      <xdr:colOff>121920</xdr:colOff>
      <xdr:row>8</xdr:row>
      <xdr:rowOff>9525</xdr:rowOff>
    </xdr:from>
    <xdr:to>
      <xdr:col>3</xdr:col>
      <xdr:colOff>28585</xdr:colOff>
      <xdr:row>9</xdr:row>
      <xdr:rowOff>38100</xdr:rowOff>
    </xdr:to>
    <xdr:sp macro="" textlink="">
      <xdr:nvSpPr>
        <xdr:cNvPr id="135" name="Text Box 135"/>
        <xdr:cNvSpPr txBox="1">
          <a:spLocks noChangeArrowheads="1"/>
        </xdr:cNvSpPr>
      </xdr:nvSpPr>
      <xdr:spPr bwMode="auto">
        <a:xfrm>
          <a:off x="123825" y="2476500"/>
          <a:ext cx="4362450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ชื่อผู้ปฏิบัติงาน     นางสาว วารุณี  ศิริจรจารุ    น..................................................................................................................... .............................................................................................</a:t>
          </a:r>
        </a:p>
      </xdr:txBody>
    </xdr:sp>
    <xdr:clientData/>
  </xdr:twoCellAnchor>
  <xdr:twoCellAnchor>
    <xdr:from>
      <xdr:col>3</xdr:col>
      <xdr:colOff>550545</xdr:colOff>
      <xdr:row>7</xdr:row>
      <xdr:rowOff>285750</xdr:rowOff>
    </xdr:from>
    <xdr:to>
      <xdr:col>8</xdr:col>
      <xdr:colOff>302895</xdr:colOff>
      <xdr:row>9</xdr:row>
      <xdr:rowOff>11430</xdr:rowOff>
    </xdr:to>
    <xdr:sp macro="" textlink="">
      <xdr:nvSpPr>
        <xdr:cNvPr id="136" name="Text Box 137"/>
        <xdr:cNvSpPr txBox="1">
          <a:spLocks noChangeArrowheads="1"/>
        </xdr:cNvSpPr>
      </xdr:nvSpPr>
      <xdr:spPr bwMode="auto">
        <a:xfrm>
          <a:off x="5010150" y="2457450"/>
          <a:ext cx="3857625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สังกัด       สาขาวิชาอารักขาพืช  คณะผลิตกรรมการเกษตร  ...................................................................................................................</a:t>
          </a:r>
        </a:p>
      </xdr:txBody>
    </xdr:sp>
    <xdr:clientData/>
  </xdr:twoCellAnchor>
  <xdr:twoCellAnchor>
    <xdr:from>
      <xdr:col>0</xdr:col>
      <xdr:colOff>121920</xdr:colOff>
      <xdr:row>14</xdr:row>
      <xdr:rowOff>49530</xdr:rowOff>
    </xdr:from>
    <xdr:to>
      <xdr:col>4</xdr:col>
      <xdr:colOff>209562</xdr:colOff>
      <xdr:row>15</xdr:row>
      <xdr:rowOff>85872</xdr:rowOff>
    </xdr:to>
    <xdr:sp macro="" textlink="">
      <xdr:nvSpPr>
        <xdr:cNvPr id="137" name="Text Box 139"/>
        <xdr:cNvSpPr txBox="1">
          <a:spLocks noChangeArrowheads="1"/>
        </xdr:cNvSpPr>
      </xdr:nvSpPr>
      <xdr:spPr bwMode="auto">
        <a:xfrm>
          <a:off x="123825" y="4295775"/>
          <a:ext cx="5191125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ชื่อผู้บังคับบัญชา/ผู้ประเมิน     รองศาสตราจารย์ ประวิตร  พุทธานนท์</a:t>
          </a:r>
        </a:p>
      </xdr:txBody>
    </xdr:sp>
    <xdr:clientData/>
  </xdr:twoCellAnchor>
  <xdr:twoCellAnchor>
    <xdr:from>
      <xdr:col>4</xdr:col>
      <xdr:colOff>396240</xdr:colOff>
      <xdr:row>14</xdr:row>
      <xdr:rowOff>68580</xdr:rowOff>
    </xdr:from>
    <xdr:to>
      <xdr:col>8</xdr:col>
      <xdr:colOff>434340</xdr:colOff>
      <xdr:row>15</xdr:row>
      <xdr:rowOff>95259</xdr:rowOff>
    </xdr:to>
    <xdr:sp macro="" textlink="">
      <xdr:nvSpPr>
        <xdr:cNvPr id="138" name="Text Box 140"/>
        <xdr:cNvSpPr txBox="1">
          <a:spLocks noChangeArrowheads="1"/>
        </xdr:cNvSpPr>
      </xdr:nvSpPr>
      <xdr:spPr bwMode="auto">
        <a:xfrm>
          <a:off x="5495925" y="4305300"/>
          <a:ext cx="3495675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ตำแหน่ง/ระดับ    คณบดี  .......................................................................................</a:t>
          </a:r>
        </a:p>
      </xdr:txBody>
    </xdr:sp>
    <xdr:clientData/>
  </xdr:twoCellAnchor>
  <xdr:twoCellAnchor>
    <xdr:from>
      <xdr:col>0</xdr:col>
      <xdr:colOff>2884170</xdr:colOff>
      <xdr:row>11</xdr:row>
      <xdr:rowOff>11430</xdr:rowOff>
    </xdr:from>
    <xdr:to>
      <xdr:col>2</xdr:col>
      <xdr:colOff>588741</xdr:colOff>
      <xdr:row>12</xdr:row>
      <xdr:rowOff>115</xdr:rowOff>
    </xdr:to>
    <xdr:sp macro="" textlink="">
      <xdr:nvSpPr>
        <xdr:cNvPr id="139" name="Text Box 141"/>
        <xdr:cNvSpPr txBox="1">
          <a:spLocks noChangeArrowheads="1"/>
        </xdr:cNvSpPr>
      </xdr:nvSpPr>
      <xdr:spPr bwMode="auto">
        <a:xfrm>
          <a:off x="2886075" y="3343275"/>
          <a:ext cx="1485900" cy="2667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/ ]  ผู้ช่วยศาสตราจารย์</a:t>
          </a:r>
        </a:p>
      </xdr:txBody>
    </xdr:sp>
    <xdr:clientData/>
  </xdr:twoCellAnchor>
  <xdr:twoCellAnchor>
    <xdr:from>
      <xdr:col>3</xdr:col>
      <xdr:colOff>550545</xdr:colOff>
      <xdr:row>11</xdr:row>
      <xdr:rowOff>28575</xdr:rowOff>
    </xdr:from>
    <xdr:to>
      <xdr:col>5</xdr:col>
      <xdr:colOff>672487</xdr:colOff>
      <xdr:row>12</xdr:row>
      <xdr:rowOff>0</xdr:rowOff>
    </xdr:to>
    <xdr:sp macro="" textlink="">
      <xdr:nvSpPr>
        <xdr:cNvPr id="140" name="Text Box 142"/>
        <xdr:cNvSpPr txBox="1">
          <a:spLocks noChangeArrowheads="1"/>
        </xdr:cNvSpPr>
      </xdr:nvSpPr>
      <xdr:spPr bwMode="auto">
        <a:xfrm>
          <a:off x="5010150" y="3352800"/>
          <a:ext cx="1485900" cy="25717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รองศาสตราจารย์</a:t>
          </a:r>
        </a:p>
      </xdr:txBody>
    </xdr:sp>
    <xdr:clientData/>
  </xdr:twoCellAnchor>
  <xdr:twoCellAnchor>
    <xdr:from>
      <xdr:col>6</xdr:col>
      <xdr:colOff>83820</xdr:colOff>
      <xdr:row>11</xdr:row>
      <xdr:rowOff>11430</xdr:rowOff>
    </xdr:from>
    <xdr:to>
      <xdr:col>7</xdr:col>
      <xdr:colOff>739062</xdr:colOff>
      <xdr:row>12</xdr:row>
      <xdr:rowOff>115</xdr:rowOff>
    </xdr:to>
    <xdr:sp macro="" textlink="">
      <xdr:nvSpPr>
        <xdr:cNvPr id="141" name="Text Box 143"/>
        <xdr:cNvSpPr txBox="1">
          <a:spLocks noChangeArrowheads="1"/>
        </xdr:cNvSpPr>
      </xdr:nvSpPr>
      <xdr:spPr bwMode="auto">
        <a:xfrm>
          <a:off x="7019925" y="3343275"/>
          <a:ext cx="1485900" cy="2667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ศาสตราจารย์</a:t>
          </a:r>
        </a:p>
      </xdr:txBody>
    </xdr:sp>
    <xdr:clientData/>
  </xdr:twoCellAnchor>
  <xdr:twoCellAnchor>
    <xdr:from>
      <xdr:col>5</xdr:col>
      <xdr:colOff>876300</xdr:colOff>
      <xdr:row>220</xdr:row>
      <xdr:rowOff>209550</xdr:rowOff>
    </xdr:from>
    <xdr:to>
      <xdr:col>15</xdr:col>
      <xdr:colOff>428625</xdr:colOff>
      <xdr:row>220</xdr:row>
      <xdr:rowOff>209550</xdr:rowOff>
    </xdr:to>
    <xdr:sp macro="" textlink="">
      <xdr:nvSpPr>
        <xdr:cNvPr id="547813" name="Line 145"/>
        <xdr:cNvSpPr>
          <a:spLocks noChangeShapeType="1"/>
        </xdr:cNvSpPr>
      </xdr:nvSpPr>
      <xdr:spPr bwMode="auto">
        <a:xfrm>
          <a:off x="6696075" y="66455925"/>
          <a:ext cx="73152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0</xdr:colOff>
      <xdr:row>122</xdr:row>
      <xdr:rowOff>0</xdr:rowOff>
    </xdr:from>
    <xdr:to>
      <xdr:col>10</xdr:col>
      <xdr:colOff>0</xdr:colOff>
      <xdr:row>122</xdr:row>
      <xdr:rowOff>0</xdr:rowOff>
    </xdr:to>
    <xdr:sp macro="" textlink="">
      <xdr:nvSpPr>
        <xdr:cNvPr id="147" name="Text Box 14"/>
        <xdr:cNvSpPr txBox="1">
          <a:spLocks noChangeArrowheads="1"/>
        </xdr:cNvSpPr>
      </xdr:nvSpPr>
      <xdr:spPr bwMode="auto">
        <a:xfrm>
          <a:off x="10287000" y="36347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122</xdr:row>
      <xdr:rowOff>0</xdr:rowOff>
    </xdr:from>
    <xdr:to>
      <xdr:col>10</xdr:col>
      <xdr:colOff>0</xdr:colOff>
      <xdr:row>122</xdr:row>
      <xdr:rowOff>0</xdr:rowOff>
    </xdr:to>
    <xdr:sp macro="" textlink="">
      <xdr:nvSpPr>
        <xdr:cNvPr id="148" name="Text Box 15"/>
        <xdr:cNvSpPr txBox="1">
          <a:spLocks noChangeArrowheads="1"/>
        </xdr:cNvSpPr>
      </xdr:nvSpPr>
      <xdr:spPr bwMode="auto">
        <a:xfrm>
          <a:off x="10287000" y="36347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10</xdr:col>
      <xdr:colOff>0</xdr:colOff>
      <xdr:row>122</xdr:row>
      <xdr:rowOff>0</xdr:rowOff>
    </xdr:from>
    <xdr:to>
      <xdr:col>10</xdr:col>
      <xdr:colOff>0</xdr:colOff>
      <xdr:row>122</xdr:row>
      <xdr:rowOff>0</xdr:rowOff>
    </xdr:to>
    <xdr:sp macro="" textlink="">
      <xdr:nvSpPr>
        <xdr:cNvPr id="149" name="Text Box 16"/>
        <xdr:cNvSpPr txBox="1">
          <a:spLocks noChangeArrowheads="1"/>
        </xdr:cNvSpPr>
      </xdr:nvSpPr>
      <xdr:spPr bwMode="auto">
        <a:xfrm>
          <a:off x="10287000" y="36347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10</xdr:col>
      <xdr:colOff>0</xdr:colOff>
      <xdr:row>122</xdr:row>
      <xdr:rowOff>0</xdr:rowOff>
    </xdr:from>
    <xdr:to>
      <xdr:col>10</xdr:col>
      <xdr:colOff>0</xdr:colOff>
      <xdr:row>122</xdr:row>
      <xdr:rowOff>0</xdr:rowOff>
    </xdr:to>
    <xdr:sp macro="" textlink="">
      <xdr:nvSpPr>
        <xdr:cNvPr id="150" name="Text Box 58"/>
        <xdr:cNvSpPr txBox="1">
          <a:spLocks noChangeArrowheads="1"/>
        </xdr:cNvSpPr>
      </xdr:nvSpPr>
      <xdr:spPr bwMode="auto">
        <a:xfrm>
          <a:off x="10287000" y="36347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122</xdr:row>
      <xdr:rowOff>0</xdr:rowOff>
    </xdr:from>
    <xdr:to>
      <xdr:col>10</xdr:col>
      <xdr:colOff>0</xdr:colOff>
      <xdr:row>122</xdr:row>
      <xdr:rowOff>0</xdr:rowOff>
    </xdr:to>
    <xdr:sp macro="" textlink="">
      <xdr:nvSpPr>
        <xdr:cNvPr id="151" name="Text Box 59"/>
        <xdr:cNvSpPr txBox="1">
          <a:spLocks noChangeArrowheads="1"/>
        </xdr:cNvSpPr>
      </xdr:nvSpPr>
      <xdr:spPr bwMode="auto">
        <a:xfrm>
          <a:off x="10287000" y="36347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122</xdr:row>
      <xdr:rowOff>0</xdr:rowOff>
    </xdr:from>
    <xdr:to>
      <xdr:col>10</xdr:col>
      <xdr:colOff>0</xdr:colOff>
      <xdr:row>122</xdr:row>
      <xdr:rowOff>0</xdr:rowOff>
    </xdr:to>
    <xdr:sp macro="" textlink="">
      <xdr:nvSpPr>
        <xdr:cNvPr id="152" name="Text Box 60"/>
        <xdr:cNvSpPr txBox="1">
          <a:spLocks noChangeArrowheads="1"/>
        </xdr:cNvSpPr>
      </xdr:nvSpPr>
      <xdr:spPr bwMode="auto">
        <a:xfrm>
          <a:off x="10287000" y="36347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122</xdr:row>
      <xdr:rowOff>0</xdr:rowOff>
    </xdr:from>
    <xdr:to>
      <xdr:col>10</xdr:col>
      <xdr:colOff>0</xdr:colOff>
      <xdr:row>122</xdr:row>
      <xdr:rowOff>0</xdr:rowOff>
    </xdr:to>
    <xdr:sp macro="" textlink="">
      <xdr:nvSpPr>
        <xdr:cNvPr id="153" name="Text Box 61"/>
        <xdr:cNvSpPr txBox="1">
          <a:spLocks noChangeArrowheads="1"/>
        </xdr:cNvSpPr>
      </xdr:nvSpPr>
      <xdr:spPr bwMode="auto">
        <a:xfrm>
          <a:off x="10287000" y="36347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10</xdr:col>
      <xdr:colOff>0</xdr:colOff>
      <xdr:row>122</xdr:row>
      <xdr:rowOff>0</xdr:rowOff>
    </xdr:from>
    <xdr:to>
      <xdr:col>10</xdr:col>
      <xdr:colOff>0</xdr:colOff>
      <xdr:row>122</xdr:row>
      <xdr:rowOff>0</xdr:rowOff>
    </xdr:to>
    <xdr:sp macro="" textlink="">
      <xdr:nvSpPr>
        <xdr:cNvPr id="154" name="Text Box 62"/>
        <xdr:cNvSpPr txBox="1">
          <a:spLocks noChangeArrowheads="1"/>
        </xdr:cNvSpPr>
      </xdr:nvSpPr>
      <xdr:spPr bwMode="auto">
        <a:xfrm>
          <a:off x="10287000" y="36347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10</xdr:col>
      <xdr:colOff>0</xdr:colOff>
      <xdr:row>122</xdr:row>
      <xdr:rowOff>0</xdr:rowOff>
    </xdr:from>
    <xdr:to>
      <xdr:col>10</xdr:col>
      <xdr:colOff>0</xdr:colOff>
      <xdr:row>122</xdr:row>
      <xdr:rowOff>0</xdr:rowOff>
    </xdr:to>
    <xdr:sp macro="" textlink="">
      <xdr:nvSpPr>
        <xdr:cNvPr id="155" name="Text Box 63"/>
        <xdr:cNvSpPr txBox="1">
          <a:spLocks noChangeArrowheads="1"/>
        </xdr:cNvSpPr>
      </xdr:nvSpPr>
      <xdr:spPr bwMode="auto">
        <a:xfrm>
          <a:off x="10287000" y="36347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122</xdr:row>
      <xdr:rowOff>0</xdr:rowOff>
    </xdr:from>
    <xdr:to>
      <xdr:col>10</xdr:col>
      <xdr:colOff>0</xdr:colOff>
      <xdr:row>122</xdr:row>
      <xdr:rowOff>0</xdr:rowOff>
    </xdr:to>
    <xdr:sp macro="" textlink="">
      <xdr:nvSpPr>
        <xdr:cNvPr id="156" name="Text Box 64"/>
        <xdr:cNvSpPr txBox="1">
          <a:spLocks noChangeArrowheads="1"/>
        </xdr:cNvSpPr>
      </xdr:nvSpPr>
      <xdr:spPr bwMode="auto">
        <a:xfrm>
          <a:off x="10287000" y="36347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10</xdr:col>
      <xdr:colOff>0</xdr:colOff>
      <xdr:row>122</xdr:row>
      <xdr:rowOff>0</xdr:rowOff>
    </xdr:from>
    <xdr:to>
      <xdr:col>10</xdr:col>
      <xdr:colOff>0</xdr:colOff>
      <xdr:row>122</xdr:row>
      <xdr:rowOff>0</xdr:rowOff>
    </xdr:to>
    <xdr:sp macro="" textlink="">
      <xdr:nvSpPr>
        <xdr:cNvPr id="157" name="Text Box 65"/>
        <xdr:cNvSpPr txBox="1">
          <a:spLocks noChangeArrowheads="1"/>
        </xdr:cNvSpPr>
      </xdr:nvSpPr>
      <xdr:spPr bwMode="auto">
        <a:xfrm>
          <a:off x="10287000" y="36347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10</xdr:col>
      <xdr:colOff>0</xdr:colOff>
      <xdr:row>122</xdr:row>
      <xdr:rowOff>0</xdr:rowOff>
    </xdr:from>
    <xdr:to>
      <xdr:col>10</xdr:col>
      <xdr:colOff>0</xdr:colOff>
      <xdr:row>122</xdr:row>
      <xdr:rowOff>0</xdr:rowOff>
    </xdr:to>
    <xdr:sp macro="" textlink="">
      <xdr:nvSpPr>
        <xdr:cNvPr id="158" name="Text Box 66"/>
        <xdr:cNvSpPr txBox="1">
          <a:spLocks noChangeArrowheads="1"/>
        </xdr:cNvSpPr>
      </xdr:nvSpPr>
      <xdr:spPr bwMode="auto">
        <a:xfrm>
          <a:off x="10287000" y="36347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122</xdr:row>
      <xdr:rowOff>0</xdr:rowOff>
    </xdr:from>
    <xdr:to>
      <xdr:col>10</xdr:col>
      <xdr:colOff>0</xdr:colOff>
      <xdr:row>122</xdr:row>
      <xdr:rowOff>0</xdr:rowOff>
    </xdr:to>
    <xdr:sp macro="" textlink="">
      <xdr:nvSpPr>
        <xdr:cNvPr id="159" name="Text Box 67"/>
        <xdr:cNvSpPr txBox="1">
          <a:spLocks noChangeArrowheads="1"/>
        </xdr:cNvSpPr>
      </xdr:nvSpPr>
      <xdr:spPr bwMode="auto">
        <a:xfrm>
          <a:off x="10287000" y="36347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122</xdr:row>
      <xdr:rowOff>0</xdr:rowOff>
    </xdr:from>
    <xdr:to>
      <xdr:col>10</xdr:col>
      <xdr:colOff>0</xdr:colOff>
      <xdr:row>122</xdr:row>
      <xdr:rowOff>0</xdr:rowOff>
    </xdr:to>
    <xdr:sp macro="" textlink="">
      <xdr:nvSpPr>
        <xdr:cNvPr id="160" name="Text Box 68"/>
        <xdr:cNvSpPr txBox="1">
          <a:spLocks noChangeArrowheads="1"/>
        </xdr:cNvSpPr>
      </xdr:nvSpPr>
      <xdr:spPr bwMode="auto">
        <a:xfrm>
          <a:off x="10287000" y="36347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10</xdr:col>
      <xdr:colOff>0</xdr:colOff>
      <xdr:row>122</xdr:row>
      <xdr:rowOff>0</xdr:rowOff>
    </xdr:from>
    <xdr:to>
      <xdr:col>10</xdr:col>
      <xdr:colOff>0</xdr:colOff>
      <xdr:row>122</xdr:row>
      <xdr:rowOff>0</xdr:rowOff>
    </xdr:to>
    <xdr:sp macro="" textlink="">
      <xdr:nvSpPr>
        <xdr:cNvPr id="161" name="Text Box 69"/>
        <xdr:cNvSpPr txBox="1">
          <a:spLocks noChangeArrowheads="1"/>
        </xdr:cNvSpPr>
      </xdr:nvSpPr>
      <xdr:spPr bwMode="auto">
        <a:xfrm>
          <a:off x="10287000" y="36347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10</xdr:col>
      <xdr:colOff>0</xdr:colOff>
      <xdr:row>122</xdr:row>
      <xdr:rowOff>0</xdr:rowOff>
    </xdr:from>
    <xdr:to>
      <xdr:col>10</xdr:col>
      <xdr:colOff>0</xdr:colOff>
      <xdr:row>122</xdr:row>
      <xdr:rowOff>0</xdr:rowOff>
    </xdr:to>
    <xdr:sp macro="" textlink="">
      <xdr:nvSpPr>
        <xdr:cNvPr id="162" name="Text Box 70"/>
        <xdr:cNvSpPr txBox="1">
          <a:spLocks noChangeArrowheads="1"/>
        </xdr:cNvSpPr>
      </xdr:nvSpPr>
      <xdr:spPr bwMode="auto">
        <a:xfrm>
          <a:off x="10287000" y="36347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122</xdr:row>
      <xdr:rowOff>0</xdr:rowOff>
    </xdr:from>
    <xdr:to>
      <xdr:col>10</xdr:col>
      <xdr:colOff>0</xdr:colOff>
      <xdr:row>122</xdr:row>
      <xdr:rowOff>0</xdr:rowOff>
    </xdr:to>
    <xdr:sp macro="" textlink="">
      <xdr:nvSpPr>
        <xdr:cNvPr id="163" name="Text Box 71"/>
        <xdr:cNvSpPr txBox="1">
          <a:spLocks noChangeArrowheads="1"/>
        </xdr:cNvSpPr>
      </xdr:nvSpPr>
      <xdr:spPr bwMode="auto">
        <a:xfrm>
          <a:off x="10287000" y="36347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10</xdr:col>
      <xdr:colOff>0</xdr:colOff>
      <xdr:row>122</xdr:row>
      <xdr:rowOff>0</xdr:rowOff>
    </xdr:from>
    <xdr:to>
      <xdr:col>10</xdr:col>
      <xdr:colOff>0</xdr:colOff>
      <xdr:row>122</xdr:row>
      <xdr:rowOff>0</xdr:rowOff>
    </xdr:to>
    <xdr:sp macro="" textlink="">
      <xdr:nvSpPr>
        <xdr:cNvPr id="164" name="Text Box 72"/>
        <xdr:cNvSpPr txBox="1">
          <a:spLocks noChangeArrowheads="1"/>
        </xdr:cNvSpPr>
      </xdr:nvSpPr>
      <xdr:spPr bwMode="auto">
        <a:xfrm>
          <a:off x="10287000" y="36347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10</xdr:col>
      <xdr:colOff>0</xdr:colOff>
      <xdr:row>122</xdr:row>
      <xdr:rowOff>0</xdr:rowOff>
    </xdr:from>
    <xdr:to>
      <xdr:col>10</xdr:col>
      <xdr:colOff>0</xdr:colOff>
      <xdr:row>122</xdr:row>
      <xdr:rowOff>0</xdr:rowOff>
    </xdr:to>
    <xdr:sp macro="" textlink="">
      <xdr:nvSpPr>
        <xdr:cNvPr id="165" name="Text Box 73"/>
        <xdr:cNvSpPr txBox="1">
          <a:spLocks noChangeArrowheads="1"/>
        </xdr:cNvSpPr>
      </xdr:nvSpPr>
      <xdr:spPr bwMode="auto">
        <a:xfrm>
          <a:off x="10287000" y="36347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122</xdr:row>
      <xdr:rowOff>0</xdr:rowOff>
    </xdr:from>
    <xdr:to>
      <xdr:col>10</xdr:col>
      <xdr:colOff>0</xdr:colOff>
      <xdr:row>122</xdr:row>
      <xdr:rowOff>0</xdr:rowOff>
    </xdr:to>
    <xdr:sp macro="" textlink="">
      <xdr:nvSpPr>
        <xdr:cNvPr id="166" name="Text Box 74"/>
        <xdr:cNvSpPr txBox="1">
          <a:spLocks noChangeArrowheads="1"/>
        </xdr:cNvSpPr>
      </xdr:nvSpPr>
      <xdr:spPr bwMode="auto">
        <a:xfrm>
          <a:off x="10287000" y="36347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122</xdr:row>
      <xdr:rowOff>0</xdr:rowOff>
    </xdr:from>
    <xdr:to>
      <xdr:col>10</xdr:col>
      <xdr:colOff>0</xdr:colOff>
      <xdr:row>122</xdr:row>
      <xdr:rowOff>0</xdr:rowOff>
    </xdr:to>
    <xdr:sp macro="" textlink="">
      <xdr:nvSpPr>
        <xdr:cNvPr id="167" name="Text Box 75"/>
        <xdr:cNvSpPr txBox="1">
          <a:spLocks noChangeArrowheads="1"/>
        </xdr:cNvSpPr>
      </xdr:nvSpPr>
      <xdr:spPr bwMode="auto">
        <a:xfrm>
          <a:off x="10287000" y="36347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10</xdr:col>
      <xdr:colOff>0</xdr:colOff>
      <xdr:row>122</xdr:row>
      <xdr:rowOff>0</xdr:rowOff>
    </xdr:from>
    <xdr:to>
      <xdr:col>10</xdr:col>
      <xdr:colOff>0</xdr:colOff>
      <xdr:row>122</xdr:row>
      <xdr:rowOff>0</xdr:rowOff>
    </xdr:to>
    <xdr:sp macro="" textlink="">
      <xdr:nvSpPr>
        <xdr:cNvPr id="168" name="Text Box 76"/>
        <xdr:cNvSpPr txBox="1">
          <a:spLocks noChangeArrowheads="1"/>
        </xdr:cNvSpPr>
      </xdr:nvSpPr>
      <xdr:spPr bwMode="auto">
        <a:xfrm>
          <a:off x="10287000" y="36347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0</xdr:col>
      <xdr:colOff>2238375</xdr:colOff>
      <xdr:row>111</xdr:row>
      <xdr:rowOff>238125</xdr:rowOff>
    </xdr:from>
    <xdr:to>
      <xdr:col>9</xdr:col>
      <xdr:colOff>828675</xdr:colOff>
      <xdr:row>111</xdr:row>
      <xdr:rowOff>238125</xdr:rowOff>
    </xdr:to>
    <xdr:sp macro="" textlink="">
      <xdr:nvSpPr>
        <xdr:cNvPr id="547836" name="Line 144"/>
        <xdr:cNvSpPr>
          <a:spLocks noChangeShapeType="1"/>
        </xdr:cNvSpPr>
      </xdr:nvSpPr>
      <xdr:spPr bwMode="auto">
        <a:xfrm>
          <a:off x="2238375" y="32708850"/>
          <a:ext cx="80962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28575</xdr:colOff>
      <xdr:row>112</xdr:row>
      <xdr:rowOff>247650</xdr:rowOff>
    </xdr:from>
    <xdr:to>
      <xdr:col>9</xdr:col>
      <xdr:colOff>895350</xdr:colOff>
      <xdr:row>112</xdr:row>
      <xdr:rowOff>257175</xdr:rowOff>
    </xdr:to>
    <xdr:sp macro="" textlink="">
      <xdr:nvSpPr>
        <xdr:cNvPr id="547837" name="Line 146"/>
        <xdr:cNvSpPr>
          <a:spLocks noChangeShapeType="1"/>
        </xdr:cNvSpPr>
      </xdr:nvSpPr>
      <xdr:spPr bwMode="auto">
        <a:xfrm>
          <a:off x="28575" y="33032700"/>
          <a:ext cx="10344150" cy="952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180975</xdr:colOff>
      <xdr:row>116</xdr:row>
      <xdr:rowOff>238125</xdr:rowOff>
    </xdr:from>
    <xdr:to>
      <xdr:col>9</xdr:col>
      <xdr:colOff>838200</xdr:colOff>
      <xdr:row>116</xdr:row>
      <xdr:rowOff>238125</xdr:rowOff>
    </xdr:to>
    <xdr:sp macro="" textlink="">
      <xdr:nvSpPr>
        <xdr:cNvPr id="547838" name="Line 148"/>
        <xdr:cNvSpPr>
          <a:spLocks noChangeShapeType="1"/>
        </xdr:cNvSpPr>
      </xdr:nvSpPr>
      <xdr:spPr bwMode="auto">
        <a:xfrm>
          <a:off x="3962400" y="34166175"/>
          <a:ext cx="63817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28575</xdr:colOff>
      <xdr:row>113</xdr:row>
      <xdr:rowOff>247650</xdr:rowOff>
    </xdr:from>
    <xdr:to>
      <xdr:col>9</xdr:col>
      <xdr:colOff>895350</xdr:colOff>
      <xdr:row>113</xdr:row>
      <xdr:rowOff>257175</xdr:rowOff>
    </xdr:to>
    <xdr:sp macro="" textlink="">
      <xdr:nvSpPr>
        <xdr:cNvPr id="547839" name="Line 149"/>
        <xdr:cNvSpPr>
          <a:spLocks noChangeShapeType="1"/>
        </xdr:cNvSpPr>
      </xdr:nvSpPr>
      <xdr:spPr bwMode="auto">
        <a:xfrm>
          <a:off x="28575" y="33318450"/>
          <a:ext cx="10344150" cy="952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28575</xdr:colOff>
      <xdr:row>114</xdr:row>
      <xdr:rowOff>247650</xdr:rowOff>
    </xdr:from>
    <xdr:to>
      <xdr:col>9</xdr:col>
      <xdr:colOff>895350</xdr:colOff>
      <xdr:row>114</xdr:row>
      <xdr:rowOff>257175</xdr:rowOff>
    </xdr:to>
    <xdr:sp macro="" textlink="">
      <xdr:nvSpPr>
        <xdr:cNvPr id="563200" name="Line 151"/>
        <xdr:cNvSpPr>
          <a:spLocks noChangeShapeType="1"/>
        </xdr:cNvSpPr>
      </xdr:nvSpPr>
      <xdr:spPr bwMode="auto">
        <a:xfrm>
          <a:off x="28575" y="33604200"/>
          <a:ext cx="10344150" cy="952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28575</xdr:colOff>
      <xdr:row>117</xdr:row>
      <xdr:rowOff>247650</xdr:rowOff>
    </xdr:from>
    <xdr:to>
      <xdr:col>9</xdr:col>
      <xdr:colOff>895350</xdr:colOff>
      <xdr:row>117</xdr:row>
      <xdr:rowOff>257175</xdr:rowOff>
    </xdr:to>
    <xdr:sp macro="" textlink="">
      <xdr:nvSpPr>
        <xdr:cNvPr id="563201" name="Line 153"/>
        <xdr:cNvSpPr>
          <a:spLocks noChangeShapeType="1"/>
        </xdr:cNvSpPr>
      </xdr:nvSpPr>
      <xdr:spPr bwMode="auto">
        <a:xfrm>
          <a:off x="28575" y="34461450"/>
          <a:ext cx="10344150" cy="952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28575</xdr:colOff>
      <xdr:row>118</xdr:row>
      <xdr:rowOff>247650</xdr:rowOff>
    </xdr:from>
    <xdr:to>
      <xdr:col>9</xdr:col>
      <xdr:colOff>895350</xdr:colOff>
      <xdr:row>118</xdr:row>
      <xdr:rowOff>257175</xdr:rowOff>
    </xdr:to>
    <xdr:sp macro="" textlink="">
      <xdr:nvSpPr>
        <xdr:cNvPr id="563202" name="Line 154"/>
        <xdr:cNvSpPr>
          <a:spLocks noChangeShapeType="1"/>
        </xdr:cNvSpPr>
      </xdr:nvSpPr>
      <xdr:spPr bwMode="auto">
        <a:xfrm>
          <a:off x="28575" y="34747200"/>
          <a:ext cx="10344150" cy="952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28575</xdr:colOff>
      <xdr:row>119</xdr:row>
      <xdr:rowOff>247650</xdr:rowOff>
    </xdr:from>
    <xdr:to>
      <xdr:col>9</xdr:col>
      <xdr:colOff>895350</xdr:colOff>
      <xdr:row>119</xdr:row>
      <xdr:rowOff>257175</xdr:rowOff>
    </xdr:to>
    <xdr:sp macro="" textlink="">
      <xdr:nvSpPr>
        <xdr:cNvPr id="563203" name="Line 155"/>
        <xdr:cNvSpPr>
          <a:spLocks noChangeShapeType="1"/>
        </xdr:cNvSpPr>
      </xdr:nvSpPr>
      <xdr:spPr bwMode="auto">
        <a:xfrm>
          <a:off x="28575" y="35032950"/>
          <a:ext cx="10344150" cy="952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28575</xdr:colOff>
      <xdr:row>115</xdr:row>
      <xdr:rowOff>247650</xdr:rowOff>
    </xdr:from>
    <xdr:to>
      <xdr:col>9</xdr:col>
      <xdr:colOff>895350</xdr:colOff>
      <xdr:row>115</xdr:row>
      <xdr:rowOff>257175</xdr:rowOff>
    </xdr:to>
    <xdr:sp macro="" textlink="">
      <xdr:nvSpPr>
        <xdr:cNvPr id="563204" name="Line 156"/>
        <xdr:cNvSpPr>
          <a:spLocks noChangeShapeType="1"/>
        </xdr:cNvSpPr>
      </xdr:nvSpPr>
      <xdr:spPr bwMode="auto">
        <a:xfrm>
          <a:off x="28575" y="33889950"/>
          <a:ext cx="10344150" cy="952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447675</xdr:colOff>
      <xdr:row>8</xdr:row>
      <xdr:rowOff>0</xdr:rowOff>
    </xdr:from>
    <xdr:to>
      <xdr:col>10</xdr:col>
      <xdr:colOff>523875</xdr:colOff>
      <xdr:row>17</xdr:row>
      <xdr:rowOff>161925</xdr:rowOff>
    </xdr:to>
    <xdr:graphicFrame macro="">
      <xdr:nvGraphicFramePr>
        <xdr:cNvPr id="426310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L137"/>
  <sheetViews>
    <sheetView showGridLines="0" topLeftCell="A40" zoomScale="88" zoomScaleNormal="88" workbookViewId="0">
      <selection activeCell="F46" sqref="F46"/>
    </sheetView>
  </sheetViews>
  <sheetFormatPr defaultRowHeight="24.75"/>
  <cols>
    <col min="1" max="1" width="46" style="726" customWidth="1"/>
    <col min="2" max="2" width="10.7109375" style="726" customWidth="1"/>
    <col min="3" max="3" width="10.140625" style="726" customWidth="1"/>
    <col min="4" max="4" width="9.7109375" style="726" customWidth="1"/>
    <col min="5" max="5" width="10.7109375" style="726" customWidth="1"/>
    <col min="6" max="6" width="16.7109375" style="726" customWidth="1"/>
    <col min="7" max="7" width="12.42578125" style="726" customWidth="1"/>
    <col min="8" max="8" width="12" style="726" customWidth="1"/>
    <col min="9" max="9" width="14.140625" style="726" customWidth="1"/>
    <col min="10" max="10" width="13" style="726" customWidth="1"/>
    <col min="11" max="11" width="11.5703125" style="726" customWidth="1"/>
    <col min="12" max="16384" width="9.140625" style="726"/>
  </cols>
  <sheetData>
    <row r="1" spans="1:12">
      <c r="I1" s="727"/>
      <c r="J1" s="727" t="s">
        <v>909</v>
      </c>
    </row>
    <row r="5" spans="1:12">
      <c r="A5" s="1264" t="s">
        <v>910</v>
      </c>
      <c r="B5" s="1264"/>
      <c r="C5" s="1264"/>
      <c r="D5" s="1264"/>
      <c r="E5" s="1264"/>
      <c r="F5" s="1264"/>
      <c r="G5" s="1264"/>
      <c r="H5" s="1264"/>
      <c r="I5" s="1264"/>
      <c r="J5" s="1264"/>
      <c r="K5" s="1234"/>
      <c r="L5" s="1234"/>
    </row>
    <row r="6" spans="1:12">
      <c r="A6" s="1264" t="s">
        <v>911</v>
      </c>
      <c r="B6" s="1264"/>
      <c r="C6" s="1264"/>
      <c r="D6" s="1264"/>
      <c r="E6" s="1264"/>
      <c r="F6" s="1264"/>
      <c r="G6" s="1264"/>
      <c r="H6" s="1264"/>
      <c r="I6" s="1264"/>
      <c r="J6" s="1264"/>
      <c r="K6" s="728"/>
      <c r="L6" s="728"/>
    </row>
    <row r="7" spans="1:12" s="598" customFormat="1" ht="11.25" customHeight="1">
      <c r="A7" s="597"/>
    </row>
    <row r="8" spans="1:12" ht="23.25" customHeight="1">
      <c r="A8" s="1235" t="s">
        <v>912</v>
      </c>
      <c r="B8" s="1235"/>
      <c r="C8" s="1235"/>
      <c r="D8" s="1235"/>
      <c r="E8" s="1235"/>
      <c r="F8" s="1235"/>
      <c r="G8" s="1235"/>
      <c r="H8" s="1235"/>
      <c r="I8" s="1235"/>
    </row>
    <row r="9" spans="1:12" s="598" customFormat="1" ht="22.5">
      <c r="A9" s="603"/>
      <c r="B9" s="603"/>
      <c r="C9" s="603"/>
      <c r="D9" s="603"/>
      <c r="E9" s="603"/>
      <c r="F9" s="603"/>
      <c r="G9" s="603"/>
      <c r="H9" s="603"/>
      <c r="I9" s="603"/>
    </row>
    <row r="10" spans="1:12" s="598" customFormat="1" ht="22.5">
      <c r="A10" s="599" t="s">
        <v>913</v>
      </c>
      <c r="B10" s="600"/>
      <c r="C10" s="600"/>
      <c r="D10" s="600"/>
      <c r="E10" s="600"/>
      <c r="F10" s="600"/>
      <c r="G10" s="600"/>
      <c r="H10" s="600"/>
      <c r="I10" s="600"/>
    </row>
    <row r="11" spans="1:12" s="598" customFormat="1" ht="22.5">
      <c r="A11" s="599"/>
      <c r="B11" s="600"/>
      <c r="C11" s="600"/>
      <c r="D11" s="600"/>
      <c r="E11" s="600"/>
      <c r="F11" s="600"/>
      <c r="G11" s="600"/>
      <c r="H11" s="600"/>
      <c r="I11" s="600"/>
    </row>
    <row r="12" spans="1:12" s="598" customFormat="1" ht="22.5">
      <c r="A12" s="729" t="s">
        <v>914</v>
      </c>
      <c r="B12" s="603"/>
      <c r="C12" s="603"/>
      <c r="D12" s="603"/>
      <c r="E12" s="603"/>
      <c r="F12" s="603"/>
      <c r="G12" s="603"/>
      <c r="H12" s="603"/>
      <c r="I12" s="603"/>
    </row>
    <row r="13" spans="1:12" s="598" customFormat="1" ht="22.5">
      <c r="A13" s="603" t="s">
        <v>1272</v>
      </c>
      <c r="B13" s="603"/>
      <c r="C13" s="603"/>
      <c r="D13" s="603"/>
      <c r="E13" s="603"/>
      <c r="F13" s="603"/>
      <c r="G13" s="603"/>
      <c r="H13" s="603"/>
      <c r="I13" s="603"/>
    </row>
    <row r="14" spans="1:12" s="598" customFormat="1" ht="27" customHeight="1">
      <c r="A14" s="603"/>
      <c r="B14" s="603"/>
      <c r="C14" s="603"/>
      <c r="D14" s="603"/>
      <c r="E14" s="603"/>
      <c r="F14" s="603"/>
      <c r="G14" s="603"/>
      <c r="H14" s="603"/>
      <c r="I14" s="603"/>
    </row>
    <row r="15" spans="1:12" s="598" customFormat="1" ht="22.5">
      <c r="A15" s="603"/>
      <c r="B15" s="603"/>
      <c r="C15" s="603"/>
      <c r="D15" s="603"/>
      <c r="E15" s="603"/>
      <c r="F15" s="603"/>
      <c r="G15" s="603"/>
      <c r="H15" s="603"/>
      <c r="I15" s="603"/>
    </row>
    <row r="16" spans="1:12" s="598" customFormat="1" ht="11.25" customHeight="1">
      <c r="A16" s="603"/>
      <c r="B16" s="603"/>
      <c r="C16" s="603"/>
      <c r="D16" s="603"/>
      <c r="E16" s="603"/>
      <c r="F16" s="603"/>
      <c r="G16" s="603"/>
      <c r="H16" s="603"/>
      <c r="I16" s="603"/>
    </row>
    <row r="17" spans="1:10">
      <c r="A17" s="1236" t="s">
        <v>915</v>
      </c>
      <c r="B17" s="1236"/>
      <c r="C17" s="1236"/>
      <c r="D17" s="1236"/>
      <c r="E17" s="1236"/>
      <c r="F17" s="1236"/>
      <c r="G17" s="1236"/>
      <c r="H17" s="1236"/>
      <c r="I17" s="1236"/>
    </row>
    <row r="18" spans="1:10" s="598" customFormat="1" ht="22.5" customHeight="1">
      <c r="A18" s="1237" t="s">
        <v>916</v>
      </c>
      <c r="B18" s="1262" t="s">
        <v>1004</v>
      </c>
      <c r="C18" s="1239" t="s">
        <v>1005</v>
      </c>
      <c r="D18" s="1240"/>
      <c r="E18" s="1241"/>
      <c r="F18" s="1248" t="s">
        <v>1006</v>
      </c>
      <c r="G18" s="1249"/>
      <c r="H18" s="1262" t="s">
        <v>1007</v>
      </c>
      <c r="I18" s="1262" t="s">
        <v>1008</v>
      </c>
      <c r="J18" s="730" t="s">
        <v>1009</v>
      </c>
    </row>
    <row r="19" spans="1:10" s="598" customFormat="1" ht="31.5" customHeight="1">
      <c r="A19" s="1238"/>
      <c r="B19" s="1263"/>
      <c r="C19" s="1242"/>
      <c r="D19" s="1243"/>
      <c r="E19" s="1244"/>
      <c r="F19" s="1250"/>
      <c r="G19" s="1251"/>
      <c r="H19" s="1263"/>
      <c r="I19" s="1263"/>
      <c r="J19" s="731" t="s">
        <v>1010</v>
      </c>
    </row>
    <row r="20" spans="1:10" s="598" customFormat="1" ht="21.95" customHeight="1">
      <c r="A20" s="1245" t="str">
        <f>IF(การคำนวณ!B29&lt;&gt;0,"ภาระงานบริหาร  (ร้อยละ 40)",IF(การคำนวณ!C29,"ภาระงานบริหาร  (ร้อยละ 40)",IF(การคำนวณ!D29&lt;&gt;0,"ภาระงานบริหาร  (ร้อยละ 30)",IF(การคำนวณ!E29&lt;&gt;0,"ภาระงานบริหาร  (ร้อยละ 30)",IF(การคำนวณ!F29&lt;&gt;0,"ภาระงานบริหาร  (ร้อยละ 20)",IF(AND(การคำนวณ!G29&lt;&gt;0,การคำนวณ!G29=40),"ภาระงานบริหาร  (ร้อยละ 10)","ภาระงานบริหาร  (ร้อยละ ...........)"))))))</f>
        <v>ภาระงานบริหาร  (ร้อยละ 10)</v>
      </c>
      <c r="B20" s="1246"/>
      <c r="C20" s="1246"/>
      <c r="D20" s="1246"/>
      <c r="E20" s="1246"/>
      <c r="F20" s="1246"/>
      <c r="G20" s="1246"/>
      <c r="H20" s="1246"/>
      <c r="I20" s="1246"/>
      <c r="J20" s="1247"/>
    </row>
    <row r="21" spans="1:10" s="598" customFormat="1" ht="22.5" customHeight="1">
      <c r="A21" s="1252" t="s">
        <v>918</v>
      </c>
      <c r="C21" s="1268"/>
      <c r="D21" s="1269"/>
      <c r="E21" s="1270"/>
      <c r="F21" s="1268"/>
      <c r="G21" s="1270"/>
      <c r="H21" s="837" t="str">
        <f>IF(การคำนวณ!B29&lt;&gt;0,15,IF(การคำนวณ!C29,15,IF(การคำนวณ!D29&lt;&gt;0,10,IF(การคำนวณ!E29&lt;&gt;0,10,IF(การคำนวณ!F29&lt;&gt;0,"",IF(การคำนวณ!G29&lt;&gt;0,"",""))))))</f>
        <v/>
      </c>
      <c r="I21" s="733"/>
      <c r="J21" s="734">
        <f>IF(H21&lt;&gt;"",H21*I21,0)</f>
        <v>0</v>
      </c>
    </row>
    <row r="22" spans="1:10" s="598" customFormat="1" ht="22.5" customHeight="1">
      <c r="A22" s="1253"/>
      <c r="B22" s="736"/>
      <c r="C22" s="1268"/>
      <c r="D22" s="1269"/>
      <c r="E22" s="1270"/>
      <c r="F22" s="1268"/>
      <c r="G22" s="1270"/>
      <c r="H22" s="838"/>
      <c r="I22" s="738"/>
      <c r="J22" s="738"/>
    </row>
    <row r="23" spans="1:10" s="598" customFormat="1" ht="22.5" customHeight="1">
      <c r="A23" s="1276" t="s">
        <v>919</v>
      </c>
      <c r="C23" s="1271"/>
      <c r="D23" s="1277"/>
      <c r="E23" s="1272"/>
      <c r="F23" s="1271"/>
      <c r="G23" s="1272"/>
      <c r="H23" s="839" t="str">
        <f>IF(การคำนวณ!B29&lt;&gt;0,20,IF(การคำนวณ!C29,"",IF(การคำนวณ!D29&lt;&gt;0,15,IF(การคำนวณ!E29&lt;&gt;0,"",IF(การคำนวณ!F29&lt;&gt;0,"",IF(การคำนวณ!G29&lt;&gt;0,"",""))))))</f>
        <v/>
      </c>
      <c r="I23" s="740"/>
      <c r="J23" s="741">
        <f>IF(H23&lt;&gt;"",H23*I23,0)</f>
        <v>0</v>
      </c>
    </row>
    <row r="24" spans="1:10" s="598" customFormat="1" ht="22.5" customHeight="1">
      <c r="A24" s="1253"/>
      <c r="B24" s="736"/>
      <c r="C24" s="1273"/>
      <c r="D24" s="1274"/>
      <c r="E24" s="1275"/>
      <c r="F24" s="1273"/>
      <c r="G24" s="1275"/>
      <c r="H24" s="838"/>
      <c r="I24" s="738"/>
      <c r="J24" s="738"/>
    </row>
    <row r="25" spans="1:10" s="598" customFormat="1" ht="31.5" customHeight="1">
      <c r="A25" s="1237" t="s">
        <v>916</v>
      </c>
      <c r="B25" s="1262" t="s">
        <v>1004</v>
      </c>
      <c r="C25" s="1239" t="s">
        <v>1005</v>
      </c>
      <c r="D25" s="1240"/>
      <c r="E25" s="1241"/>
      <c r="F25" s="1248" t="s">
        <v>1006</v>
      </c>
      <c r="G25" s="1249"/>
      <c r="H25" s="1262" t="s">
        <v>1007</v>
      </c>
      <c r="I25" s="1262" t="s">
        <v>1008</v>
      </c>
      <c r="J25" s="730" t="s">
        <v>1009</v>
      </c>
    </row>
    <row r="26" spans="1:10" s="598" customFormat="1" ht="24.75" customHeight="1">
      <c r="A26" s="1238"/>
      <c r="B26" s="1263"/>
      <c r="C26" s="1242"/>
      <c r="D26" s="1243"/>
      <c r="E26" s="1244"/>
      <c r="F26" s="1250"/>
      <c r="G26" s="1251"/>
      <c r="H26" s="1263"/>
      <c r="I26" s="1263"/>
      <c r="J26" s="731" t="s">
        <v>1010</v>
      </c>
    </row>
    <row r="27" spans="1:10" s="598" customFormat="1" ht="22.5" customHeight="1">
      <c r="A27" s="1276" t="s">
        <v>920</v>
      </c>
      <c r="C27" s="1271"/>
      <c r="D27" s="1277"/>
      <c r="E27" s="1272"/>
      <c r="F27" s="1271"/>
      <c r="G27" s="1272"/>
      <c r="H27" s="840" t="str">
        <f>IF(การคำนวณ!B29&lt;&gt;0,"",IF(การคำนวณ!C29,20,IF(การคำนวณ!D29&lt;&gt;0,"",IF(การคำนวณ!E29&lt;&gt;0,15,IF(การคำนวณ!F29&lt;&gt;0,"",IF(การคำนวณ!G29&lt;&gt;0,"",""))))))</f>
        <v/>
      </c>
      <c r="I27" s="740"/>
      <c r="J27" s="741">
        <f>IF(H27&lt;&gt;"",H27*I27,0)</f>
        <v>0</v>
      </c>
    </row>
    <row r="28" spans="1:10" s="598" customFormat="1" ht="22.5" customHeight="1">
      <c r="A28" s="1253"/>
      <c r="B28" s="736"/>
      <c r="C28" s="1273"/>
      <c r="D28" s="1274"/>
      <c r="E28" s="1275"/>
      <c r="F28" s="1273"/>
      <c r="G28" s="1275"/>
      <c r="H28" s="841"/>
      <c r="I28" s="738"/>
      <c r="J28" s="738"/>
    </row>
    <row r="29" spans="1:10" s="598" customFormat="1" ht="22.5" customHeight="1">
      <c r="A29" s="1276" t="s">
        <v>921</v>
      </c>
      <c r="B29" s="1209">
        <v>4</v>
      </c>
      <c r="C29" s="1271" t="s">
        <v>1321</v>
      </c>
      <c r="D29" s="1277"/>
      <c r="E29" s="1272"/>
      <c r="F29" s="826" t="s">
        <v>1320</v>
      </c>
      <c r="G29" s="828"/>
      <c r="H29" s="840">
        <f>IF(การคำนวณ!B29&lt;&gt;0,"",IF(การคำนวณ!C29,"",IF(การคำนวณ!D29&lt;&gt;0,"",IF(การคำนวณ!E29&lt;&gt;0,"",IF(การคำนวณ!F29&lt;&gt;0,15,IF(AND(การคำนวณ!G29&lt;&gt;0,การคำนวณ!G29=40),10,""))))))</f>
        <v>10</v>
      </c>
      <c r="I29" s="740">
        <v>4</v>
      </c>
      <c r="J29" s="741">
        <f>IF(H29&lt;&gt;"",H29*I29,0)</f>
        <v>40</v>
      </c>
    </row>
    <row r="30" spans="1:10" s="598" customFormat="1" ht="22.5" customHeight="1">
      <c r="A30" s="1253"/>
      <c r="B30" s="736"/>
      <c r="C30" s="1273"/>
      <c r="D30" s="1274"/>
      <c r="E30" s="1275"/>
      <c r="F30" s="1273"/>
      <c r="G30" s="1275"/>
      <c r="H30" s="841"/>
      <c r="I30" s="738"/>
      <c r="J30" s="738"/>
    </row>
    <row r="31" spans="1:10" s="598" customFormat="1" ht="22.5" customHeight="1">
      <c r="A31" s="1276" t="s">
        <v>922</v>
      </c>
      <c r="C31" s="1271"/>
      <c r="D31" s="1277"/>
      <c r="E31" s="1272"/>
      <c r="F31" s="1271"/>
      <c r="G31" s="1272"/>
      <c r="H31" s="840" t="str">
        <f>IF(การคำนวณ!B29&lt;&gt;0,5,IF(การคำนวณ!C29,5,IF(การคำนวณ!D29&lt;&gt;0,5,IF(การคำนวณ!E29&lt;&gt;0,5,IF(การคำนวณ!F29&lt;&gt;0,5,IF(การคำนวณ!G29&lt;&gt;0,"",""))))))</f>
        <v/>
      </c>
      <c r="I31" s="740"/>
      <c r="J31" s="741">
        <f>IF(H31&lt;&gt;"",H31*I31,0)</f>
        <v>0</v>
      </c>
    </row>
    <row r="32" spans="1:10" s="598" customFormat="1" ht="22.5" customHeight="1">
      <c r="A32" s="1253"/>
      <c r="B32" s="736"/>
      <c r="C32" s="1273"/>
      <c r="D32" s="1274"/>
      <c r="E32" s="1275"/>
      <c r="F32" s="1273"/>
      <c r="G32" s="1275"/>
      <c r="H32" s="842"/>
      <c r="I32" s="738"/>
      <c r="J32" s="738"/>
    </row>
    <row r="33" spans="1:10" s="598" customFormat="1" ht="22.5" customHeight="1">
      <c r="A33" s="1223" t="s">
        <v>1168</v>
      </c>
      <c r="B33" s="1224"/>
      <c r="C33" s="1224"/>
      <c r="D33" s="1224"/>
      <c r="E33" s="1224"/>
      <c r="F33" s="1224"/>
      <c r="G33" s="1224"/>
      <c r="H33" s="1224"/>
      <c r="I33" s="1225"/>
      <c r="J33" s="743">
        <f>(J21+J23+J27+J29+J31)/5</f>
        <v>8</v>
      </c>
    </row>
    <row r="34" spans="1:10" s="598" customFormat="1" ht="22.5">
      <c r="A34" s="1245" t="str">
        <f>IF(การคำนวณ!B29&lt;&gt;0,"ภาระงานตามพันธกิจ  (ร้อยละ 10)",IF(การคำนวณ!C29,"ภาระงานตามพันธกิจ  (ร้อยละ 10)",IF(การคำนวณ!D29&lt;&gt;0,"ภาระงานตามพันธกิจ  (ร้อยละ 20)",IF(การคำนวณ!E29&lt;&gt;0,"ภาระงานตามพันธกิจ  (ร้อยละ 20)",IF(การคำนวณ!F29&lt;&gt;0,"ภาระงานตามพันธกิจ  (ร้อยละ 30)",IF(AND(การคำนวณ!G29&lt;&gt;0,การคำนวณ!G29=40),"ภาระงานตามพันธกิจ  (ร้อยละ 40)","ภาระงานตามพันธกิจ  (ร้อยละ 50)"))))))</f>
        <v>ภาระงานตามพันธกิจ  (ร้อยละ 40)</v>
      </c>
      <c r="B34" s="1246"/>
      <c r="C34" s="1246"/>
      <c r="D34" s="1246"/>
      <c r="E34" s="1246"/>
      <c r="F34" s="1246"/>
      <c r="G34" s="1246"/>
      <c r="H34" s="1246"/>
      <c r="I34" s="1246"/>
      <c r="J34" s="1247"/>
    </row>
    <row r="35" spans="1:10" s="598" customFormat="1" ht="22.5" customHeight="1">
      <c r="A35" s="739" t="s">
        <v>923</v>
      </c>
      <c r="B35" s="1209">
        <v>5</v>
      </c>
      <c r="C35" s="1260">
        <f>การคำนวณ!J25</f>
        <v>36.653333333333336</v>
      </c>
      <c r="D35" s="1261"/>
      <c r="E35" s="1261"/>
      <c r="F35" s="826" t="s">
        <v>1320</v>
      </c>
      <c r="G35" s="828"/>
      <c r="H35" s="744">
        <v>20</v>
      </c>
      <c r="I35" s="1206">
        <v>5</v>
      </c>
      <c r="J35" s="744">
        <f>H35*I35</f>
        <v>100</v>
      </c>
    </row>
    <row r="36" spans="1:10" s="598" customFormat="1" ht="12" customHeight="1">
      <c r="A36" s="735"/>
      <c r="B36" s="1214"/>
      <c r="C36" s="745"/>
      <c r="D36" s="1207"/>
      <c r="E36" s="1208"/>
      <c r="F36" s="1201"/>
      <c r="G36" s="1202"/>
      <c r="H36" s="747"/>
      <c r="I36" s="748"/>
      <c r="J36" s="747"/>
    </row>
    <row r="37" spans="1:10" s="598" customFormat="1" ht="22.5" customHeight="1">
      <c r="A37" s="739" t="s">
        <v>924</v>
      </c>
      <c r="B37" s="1209">
        <v>5</v>
      </c>
      <c r="C37" s="1260">
        <f>การคำนวณ!J26</f>
        <v>21.247999999999998</v>
      </c>
      <c r="D37" s="1261"/>
      <c r="E37" s="1261"/>
      <c r="F37" s="826" t="s">
        <v>1320</v>
      </c>
      <c r="G37" s="828"/>
      <c r="H37" s="744">
        <v>10</v>
      </c>
      <c r="I37" s="1206">
        <v>5</v>
      </c>
      <c r="J37" s="744">
        <f>H37*I37</f>
        <v>50</v>
      </c>
    </row>
    <row r="38" spans="1:10" s="598" customFormat="1" ht="12" customHeight="1">
      <c r="A38" s="735"/>
      <c r="B38" s="1214"/>
      <c r="C38" s="745"/>
      <c r="D38" s="1207"/>
      <c r="E38" s="1208"/>
      <c r="F38" s="1201"/>
      <c r="G38" s="1202"/>
      <c r="H38" s="747"/>
      <c r="I38" s="748"/>
      <c r="J38" s="747"/>
    </row>
    <row r="39" spans="1:10" s="598" customFormat="1" ht="22.5" customHeight="1">
      <c r="A39" s="739" t="s">
        <v>925</v>
      </c>
      <c r="B39" s="1209">
        <v>5</v>
      </c>
      <c r="C39" s="1260">
        <f>การคำนวณ!J27</f>
        <v>11.933333333333335</v>
      </c>
      <c r="D39" s="1261"/>
      <c r="E39" s="1261"/>
      <c r="F39" s="826" t="s">
        <v>1320</v>
      </c>
      <c r="G39" s="828"/>
      <c r="H39" s="744">
        <v>8</v>
      </c>
      <c r="I39" s="1206">
        <v>5</v>
      </c>
      <c r="J39" s="744">
        <f>H39*I39</f>
        <v>40</v>
      </c>
    </row>
    <row r="40" spans="1:10" s="598" customFormat="1" ht="12" customHeight="1">
      <c r="A40" s="735"/>
      <c r="B40" s="1214"/>
      <c r="C40" s="745"/>
      <c r="D40" s="1207"/>
      <c r="E40" s="1208"/>
      <c r="F40" s="1201"/>
      <c r="G40" s="1202"/>
      <c r="H40" s="747"/>
      <c r="I40" s="748"/>
      <c r="J40" s="747"/>
    </row>
    <row r="41" spans="1:10" s="598" customFormat="1" ht="22.5" customHeight="1">
      <c r="A41" s="739" t="s">
        <v>926</v>
      </c>
      <c r="B41" s="1209">
        <v>5</v>
      </c>
      <c r="C41" s="1260">
        <f>การคำนวณ!J28</f>
        <v>3.9333333333333327</v>
      </c>
      <c r="D41" s="1261"/>
      <c r="E41" s="1261"/>
      <c r="F41" s="826" t="s">
        <v>1320</v>
      </c>
      <c r="G41" s="828"/>
      <c r="H41" s="744">
        <v>2</v>
      </c>
      <c r="I41" s="1206">
        <v>5</v>
      </c>
      <c r="J41" s="744">
        <f>H41*I41</f>
        <v>10</v>
      </c>
    </row>
    <row r="42" spans="1:10" s="598" customFormat="1" ht="12" customHeight="1">
      <c r="A42" s="735"/>
      <c r="B42" s="1214"/>
      <c r="C42" s="745"/>
      <c r="D42" s="1207"/>
      <c r="E42" s="1208"/>
      <c r="F42" s="1201"/>
      <c r="G42" s="1202"/>
      <c r="H42" s="747"/>
      <c r="I42" s="748"/>
      <c r="J42" s="747"/>
    </row>
    <row r="43" spans="1:10" s="598" customFormat="1" ht="22.5">
      <c r="A43" s="1223" t="s">
        <v>1169</v>
      </c>
      <c r="B43" s="1224"/>
      <c r="C43" s="1224"/>
      <c r="D43" s="1224"/>
      <c r="E43" s="1224"/>
      <c r="F43" s="1224"/>
      <c r="G43" s="1224"/>
      <c r="H43" s="1224"/>
      <c r="I43" s="1225"/>
      <c r="J43" s="743">
        <f>SUM(J35:J41)/5</f>
        <v>40</v>
      </c>
    </row>
    <row r="44" spans="1:10" s="598" customFormat="1" ht="22.5">
      <c r="A44" s="1265" t="s">
        <v>1314</v>
      </c>
      <c r="B44" s="1266"/>
      <c r="C44" s="1266"/>
      <c r="D44" s="1266"/>
      <c r="E44" s="1266"/>
      <c r="F44" s="1266"/>
      <c r="G44" s="1266"/>
      <c r="H44" s="1266"/>
      <c r="I44" s="1266"/>
      <c r="J44" s="1267"/>
    </row>
    <row r="45" spans="1:10" s="598" customFormat="1" ht="22.5" customHeight="1">
      <c r="A45" s="732" t="s">
        <v>995</v>
      </c>
      <c r="B45" s="749"/>
      <c r="C45" s="1293">
        <f>ภาระงานอื่น!G9</f>
        <v>0</v>
      </c>
      <c r="D45" s="1269"/>
      <c r="E45" s="1270"/>
      <c r="F45" s="1268"/>
      <c r="G45" s="1270"/>
      <c r="H45" s="737"/>
      <c r="I45" s="738"/>
      <c r="J45" s="750">
        <f>H45*I45</f>
        <v>0</v>
      </c>
    </row>
    <row r="46" spans="1:10" s="598" customFormat="1" ht="22.5" customHeight="1">
      <c r="A46" s="739" t="s">
        <v>996</v>
      </c>
      <c r="B46" s="1214">
        <v>4</v>
      </c>
      <c r="C46" s="1254">
        <f>ภาระงานอื่น!G15</f>
        <v>1</v>
      </c>
      <c r="D46" s="1255"/>
      <c r="E46" s="1256"/>
      <c r="F46" s="826"/>
      <c r="G46" s="828"/>
      <c r="H46" s="763">
        <v>4</v>
      </c>
      <c r="I46" s="1205">
        <v>4</v>
      </c>
      <c r="J46" s="751">
        <f>H46*I46</f>
        <v>16</v>
      </c>
    </row>
    <row r="47" spans="1:10" s="598" customFormat="1" ht="22.5" customHeight="1">
      <c r="A47" s="752" t="s">
        <v>997</v>
      </c>
      <c r="B47" s="1214">
        <v>4</v>
      </c>
      <c r="C47" s="1254">
        <f>ภาระงานอื่น!G55</f>
        <v>3.6000000000000005</v>
      </c>
      <c r="D47" s="1255"/>
      <c r="E47" s="1256"/>
      <c r="F47" s="826" t="s">
        <v>840</v>
      </c>
      <c r="G47" s="828"/>
      <c r="H47" s="763">
        <v>8</v>
      </c>
      <c r="I47" s="1205">
        <v>5</v>
      </c>
      <c r="J47" s="751">
        <f>H47*I47</f>
        <v>40</v>
      </c>
    </row>
    <row r="48" spans="1:10" s="598" customFormat="1" ht="45">
      <c r="A48" s="752" t="s">
        <v>998</v>
      </c>
      <c r="B48" s="1214"/>
      <c r="C48" s="1257">
        <f>ภาระงานอื่น!G77</f>
        <v>0</v>
      </c>
      <c r="D48" s="1258"/>
      <c r="E48" s="1259"/>
      <c r="F48" s="1203"/>
      <c r="G48" s="740"/>
      <c r="H48" s="763"/>
      <c r="I48" s="1205"/>
      <c r="J48" s="751">
        <f>H48*I48</f>
        <v>0</v>
      </c>
    </row>
    <row r="49" spans="1:10" s="598" customFormat="1" ht="22.5" customHeight="1">
      <c r="A49" s="753" t="s">
        <v>999</v>
      </c>
      <c r="B49" s="1214">
        <v>4</v>
      </c>
      <c r="C49" s="1254">
        <f>ภาระงานอื่น!G88</f>
        <v>3</v>
      </c>
      <c r="D49" s="1255"/>
      <c r="E49" s="1256"/>
      <c r="F49" s="826" t="s">
        <v>1320</v>
      </c>
      <c r="G49" s="828"/>
      <c r="H49" s="763">
        <v>8</v>
      </c>
      <c r="I49" s="1205">
        <v>5</v>
      </c>
      <c r="J49" s="751">
        <f>H49*I49</f>
        <v>40</v>
      </c>
    </row>
    <row r="50" spans="1:10" s="598" customFormat="1" ht="22.5" customHeight="1">
      <c r="A50" s="1223" t="s">
        <v>1170</v>
      </c>
      <c r="B50" s="1224"/>
      <c r="C50" s="1224"/>
      <c r="D50" s="1224"/>
      <c r="E50" s="1224"/>
      <c r="F50" s="1224"/>
      <c r="G50" s="1224"/>
      <c r="H50" s="1224"/>
      <c r="I50" s="1225"/>
      <c r="J50" s="743">
        <f>SUM(J45:J49)/5</f>
        <v>19.2</v>
      </c>
    </row>
    <row r="51" spans="1:10" s="598" customFormat="1" ht="27.75" customHeight="1">
      <c r="A51" s="1237" t="s">
        <v>916</v>
      </c>
      <c r="B51" s="1262" t="s">
        <v>1004</v>
      </c>
      <c r="C51" s="1239" t="s">
        <v>1005</v>
      </c>
      <c r="D51" s="1240"/>
      <c r="E51" s="1241"/>
      <c r="F51" s="1248" t="s">
        <v>1006</v>
      </c>
      <c r="G51" s="1249"/>
      <c r="H51" s="1262" t="s">
        <v>1007</v>
      </c>
      <c r="I51" s="1262" t="s">
        <v>1008</v>
      </c>
      <c r="J51" s="730" t="s">
        <v>1009</v>
      </c>
    </row>
    <row r="52" spans="1:10" s="598" customFormat="1" ht="24" customHeight="1">
      <c r="A52" s="1238"/>
      <c r="B52" s="1263"/>
      <c r="C52" s="1242"/>
      <c r="D52" s="1243"/>
      <c r="E52" s="1244"/>
      <c r="F52" s="1250"/>
      <c r="G52" s="1251"/>
      <c r="H52" s="1263"/>
      <c r="I52" s="1263"/>
      <c r="J52" s="731" t="s">
        <v>1010</v>
      </c>
    </row>
    <row r="53" spans="1:10" s="598" customFormat="1" ht="22.5">
      <c r="A53" s="1265" t="s">
        <v>927</v>
      </c>
      <c r="B53" s="1266"/>
      <c r="C53" s="1266"/>
      <c r="D53" s="1266"/>
      <c r="E53" s="1266"/>
      <c r="F53" s="1266"/>
      <c r="G53" s="1266"/>
      <c r="H53" s="1266"/>
      <c r="I53" s="1266"/>
      <c r="J53" s="1267"/>
    </row>
    <row r="54" spans="1:10" s="598" customFormat="1" ht="22.5" customHeight="1">
      <c r="A54" s="1252" t="s">
        <v>1274</v>
      </c>
      <c r="B54" s="1209">
        <v>4</v>
      </c>
      <c r="C54" s="1231"/>
      <c r="D54" s="1232"/>
      <c r="E54" s="1233"/>
      <c r="F54" s="1231" t="s">
        <v>1275</v>
      </c>
      <c r="G54" s="1233"/>
      <c r="H54" s="1215">
        <v>3</v>
      </c>
      <c r="I54" s="733">
        <v>5</v>
      </c>
      <c r="J54" s="733">
        <v>15</v>
      </c>
    </row>
    <row r="55" spans="1:10" s="598" customFormat="1" ht="22.5" customHeight="1">
      <c r="A55" s="1253"/>
      <c r="B55" s="1216"/>
      <c r="C55" s="1231"/>
      <c r="D55" s="1232"/>
      <c r="E55" s="1233"/>
      <c r="F55" s="1231"/>
      <c r="G55" s="1233"/>
      <c r="H55" s="748"/>
      <c r="I55" s="1217"/>
      <c r="J55" s="1217"/>
    </row>
    <row r="56" spans="1:10" s="598" customFormat="1" ht="22.5" customHeight="1">
      <c r="A56" s="1276" t="s">
        <v>1326</v>
      </c>
      <c r="B56" s="1209">
        <v>4</v>
      </c>
      <c r="C56" s="1271"/>
      <c r="D56" s="1277"/>
      <c r="E56" s="1272"/>
      <c r="F56" s="1271" t="s">
        <v>1327</v>
      </c>
      <c r="G56" s="1272"/>
      <c r="H56" s="733">
        <v>2</v>
      </c>
      <c r="I56" s="733">
        <v>5</v>
      </c>
      <c r="J56" s="733">
        <v>10</v>
      </c>
    </row>
    <row r="57" spans="1:10" s="598" customFormat="1" ht="22.5" customHeight="1">
      <c r="A57" s="1253"/>
      <c r="B57" s="736"/>
      <c r="C57" s="1268"/>
      <c r="D57" s="1269"/>
      <c r="E57" s="1270"/>
      <c r="F57" s="1268"/>
      <c r="G57" s="1270"/>
      <c r="H57" s="754"/>
      <c r="I57" s="754"/>
      <c r="J57" s="754"/>
    </row>
    <row r="58" spans="1:10" s="598" customFormat="1" ht="22.5" customHeight="1">
      <c r="A58" s="1223" t="s">
        <v>1171</v>
      </c>
      <c r="B58" s="1224"/>
      <c r="C58" s="1224"/>
      <c r="D58" s="1224"/>
      <c r="E58" s="1224"/>
      <c r="F58" s="1224"/>
      <c r="G58" s="1224"/>
      <c r="H58" s="1224"/>
      <c r="I58" s="1225"/>
      <c r="J58" s="743">
        <f>SUM(J54:J57)/5</f>
        <v>5</v>
      </c>
    </row>
    <row r="59" spans="1:10" s="603" customFormat="1" ht="22.5">
      <c r="A59" s="1265" t="s">
        <v>928</v>
      </c>
      <c r="B59" s="1266"/>
      <c r="C59" s="1266"/>
      <c r="D59" s="1266"/>
      <c r="E59" s="1266"/>
      <c r="F59" s="1266"/>
      <c r="G59" s="1266"/>
      <c r="H59" s="1266"/>
      <c r="I59" s="1266"/>
      <c r="J59" s="1267"/>
    </row>
    <row r="60" spans="1:10" s="756" customFormat="1">
      <c r="A60" s="755" t="s">
        <v>929</v>
      </c>
      <c r="B60" s="1218">
        <v>4</v>
      </c>
      <c r="C60" s="1294" t="s">
        <v>930</v>
      </c>
      <c r="D60" s="1295"/>
      <c r="E60" s="1296"/>
      <c r="F60" s="1268"/>
      <c r="G60" s="1270"/>
      <c r="H60" s="1215">
        <v>5</v>
      </c>
      <c r="I60" s="1204">
        <v>3.73</v>
      </c>
      <c r="J60" s="1215">
        <v>18.649999999999999</v>
      </c>
    </row>
    <row r="61" spans="1:10" s="598" customFormat="1" ht="22.5">
      <c r="A61" s="755" t="s">
        <v>1315</v>
      </c>
      <c r="B61" s="757"/>
      <c r="C61" s="1294" t="s">
        <v>1273</v>
      </c>
      <c r="D61" s="1295"/>
      <c r="E61" s="1296"/>
      <c r="F61" s="1297"/>
      <c r="G61" s="1298"/>
      <c r="H61" s="758"/>
      <c r="I61" s="759"/>
      <c r="J61" s="758"/>
    </row>
    <row r="62" spans="1:10" s="598" customFormat="1" ht="22.5">
      <c r="A62" s="746"/>
      <c r="B62" s="736"/>
      <c r="C62" s="1299"/>
      <c r="D62" s="1300"/>
      <c r="E62" s="1301"/>
      <c r="F62" s="1299"/>
      <c r="G62" s="1301"/>
      <c r="H62" s="760"/>
      <c r="I62" s="761"/>
      <c r="J62" s="762"/>
    </row>
    <row r="63" spans="1:10" s="598" customFormat="1" ht="22.5">
      <c r="A63" s="1223" t="s">
        <v>1172</v>
      </c>
      <c r="B63" s="1224"/>
      <c r="C63" s="1224"/>
      <c r="D63" s="1224"/>
      <c r="E63" s="1224"/>
      <c r="F63" s="1224"/>
      <c r="G63" s="1224"/>
      <c r="H63" s="1224"/>
      <c r="I63" s="1225"/>
      <c r="J63" s="763">
        <f>J60/5</f>
        <v>3.7299999999999995</v>
      </c>
    </row>
    <row r="64" spans="1:10" s="598" customFormat="1" ht="22.5">
      <c r="A64" s="1278" t="s">
        <v>1173</v>
      </c>
      <c r="B64" s="1279"/>
      <c r="C64" s="1279"/>
      <c r="D64" s="1279"/>
      <c r="E64" s="1279"/>
      <c r="F64" s="1279"/>
      <c r="G64" s="1279"/>
      <c r="H64" s="1279"/>
      <c r="I64" s="1280"/>
      <c r="J64" s="764">
        <f>J33+J43+J50+J58+J63</f>
        <v>75.930000000000007</v>
      </c>
    </row>
    <row r="65" spans="1:10" s="598" customFormat="1" ht="22.5">
      <c r="A65" s="765"/>
      <c r="B65" s="766"/>
      <c r="C65" s="766"/>
      <c r="D65" s="766"/>
      <c r="E65" s="766"/>
      <c r="F65" s="766"/>
      <c r="G65" s="766"/>
      <c r="H65" s="766"/>
      <c r="I65" s="766"/>
    </row>
    <row r="66" spans="1:10" s="598" customFormat="1" ht="22.5">
      <c r="A66" s="1236" t="s">
        <v>931</v>
      </c>
      <c r="B66" s="1236"/>
      <c r="C66" s="1236"/>
      <c r="D66" s="1236"/>
      <c r="E66" s="1236"/>
      <c r="F66" s="1236"/>
      <c r="G66" s="1236"/>
      <c r="H66" s="1236"/>
      <c r="I66" s="1236"/>
    </row>
    <row r="67" spans="1:10" s="598" customFormat="1" ht="22.5" customHeight="1">
      <c r="A67" s="1281" t="s">
        <v>932</v>
      </c>
      <c r="B67" s="1290" t="s">
        <v>933</v>
      </c>
      <c r="C67" s="1255"/>
      <c r="D67" s="1255"/>
      <c r="E67" s="1255"/>
      <c r="F67" s="1255"/>
      <c r="G67" s="1255"/>
      <c r="H67" s="1256"/>
      <c r="I67" s="1283" t="s">
        <v>917</v>
      </c>
      <c r="J67" s="1284"/>
    </row>
    <row r="68" spans="1:10" s="598" customFormat="1" ht="44.25" customHeight="1">
      <c r="A68" s="1282"/>
      <c r="B68" s="1287" t="s">
        <v>1174</v>
      </c>
      <c r="C68" s="1288"/>
      <c r="D68" s="1287" t="s">
        <v>1175</v>
      </c>
      <c r="E68" s="1289"/>
      <c r="F68" s="767" t="s">
        <v>1176</v>
      </c>
      <c r="G68" s="768" t="s">
        <v>1177</v>
      </c>
      <c r="H68" s="769" t="s">
        <v>1178</v>
      </c>
      <c r="I68" s="1285"/>
      <c r="J68" s="1286"/>
    </row>
    <row r="69" spans="1:10" s="598" customFormat="1" ht="22.5">
      <c r="A69" s="770" t="s">
        <v>934</v>
      </c>
      <c r="B69" s="771"/>
      <c r="C69" s="772"/>
      <c r="D69" s="773"/>
      <c r="E69" s="773"/>
      <c r="F69" s="774"/>
      <c r="G69" s="775"/>
      <c r="H69" s="774"/>
      <c r="I69" s="776"/>
      <c r="J69" s="777"/>
    </row>
    <row r="70" spans="1:10" s="598" customFormat="1" ht="22.5">
      <c r="A70" s="778" t="s">
        <v>935</v>
      </c>
      <c r="B70" s="1219">
        <v>4</v>
      </c>
      <c r="C70" s="1220"/>
      <c r="D70" s="1219">
        <v>5</v>
      </c>
      <c r="E70" s="1220"/>
      <c r="F70" s="780"/>
      <c r="G70" s="781"/>
      <c r="H70" s="781" t="str">
        <f>IF(G70="","",G70-B70)</f>
        <v/>
      </c>
      <c r="I70" s="782"/>
      <c r="J70" s="783"/>
    </row>
    <row r="71" spans="1:10" s="598" customFormat="1" ht="22.5">
      <c r="A71" s="784" t="s">
        <v>936</v>
      </c>
      <c r="B71" s="1229">
        <v>4</v>
      </c>
      <c r="C71" s="1230"/>
      <c r="D71" s="1229">
        <v>4</v>
      </c>
      <c r="E71" s="1230"/>
      <c r="F71" s="785"/>
      <c r="G71" s="786"/>
      <c r="H71" s="781" t="str">
        <f>IF(G71="","",G71-B71)</f>
        <v/>
      </c>
      <c r="I71" s="787"/>
      <c r="J71" s="788"/>
    </row>
    <row r="72" spans="1:10" s="598" customFormat="1" ht="22.5">
      <c r="A72" s="784" t="s">
        <v>937</v>
      </c>
      <c r="B72" s="1229">
        <v>4</v>
      </c>
      <c r="C72" s="1230"/>
      <c r="D72" s="1229">
        <v>4</v>
      </c>
      <c r="E72" s="1230"/>
      <c r="F72" s="785"/>
      <c r="G72" s="786"/>
      <c r="H72" s="781" t="str">
        <f>IF(G72="","",G72-B72)</f>
        <v/>
      </c>
      <c r="I72" s="787"/>
      <c r="J72" s="788"/>
    </row>
    <row r="73" spans="1:10" s="598" customFormat="1" ht="22.5">
      <c r="A73" s="784" t="s">
        <v>938</v>
      </c>
      <c r="B73" s="1229">
        <v>4</v>
      </c>
      <c r="C73" s="1230"/>
      <c r="D73" s="1229">
        <v>4</v>
      </c>
      <c r="E73" s="1230"/>
      <c r="F73" s="785"/>
      <c r="G73" s="786"/>
      <c r="H73" s="781" t="str">
        <f>IF(G73="","",G73-B73)</f>
        <v/>
      </c>
      <c r="I73" s="787"/>
      <c r="J73" s="788"/>
    </row>
    <row r="74" spans="1:10" s="598" customFormat="1" ht="22.5">
      <c r="A74" s="789" t="s">
        <v>939</v>
      </c>
      <c r="B74" s="1291">
        <v>4</v>
      </c>
      <c r="C74" s="1292"/>
      <c r="D74" s="1291">
        <v>4</v>
      </c>
      <c r="E74" s="1292"/>
      <c r="F74" s="790"/>
      <c r="G74" s="791"/>
      <c r="H74" s="781" t="str">
        <f>IF(G74="","",G74-B74)</f>
        <v/>
      </c>
      <c r="I74" s="792"/>
      <c r="J74" s="793"/>
    </row>
    <row r="75" spans="1:10" s="598" customFormat="1" ht="22.5" customHeight="1">
      <c r="A75" s="1281" t="s">
        <v>932</v>
      </c>
      <c r="B75" s="1290" t="s">
        <v>933</v>
      </c>
      <c r="C75" s="1255"/>
      <c r="D75" s="1255"/>
      <c r="E75" s="1255"/>
      <c r="F75" s="1255"/>
      <c r="G75" s="1255"/>
      <c r="H75" s="1256"/>
      <c r="I75" s="1283" t="s">
        <v>917</v>
      </c>
      <c r="J75" s="1284"/>
    </row>
    <row r="76" spans="1:10" s="598" customFormat="1" ht="44.25" customHeight="1">
      <c r="A76" s="1282"/>
      <c r="B76" s="1287" t="s">
        <v>1174</v>
      </c>
      <c r="C76" s="1288"/>
      <c r="D76" s="1287" t="s">
        <v>1175</v>
      </c>
      <c r="E76" s="1289"/>
      <c r="F76" s="767" t="s">
        <v>1176</v>
      </c>
      <c r="G76" s="768" t="s">
        <v>1177</v>
      </c>
      <c r="H76" s="769" t="s">
        <v>1178</v>
      </c>
      <c r="I76" s="1285"/>
      <c r="J76" s="1286"/>
    </row>
    <row r="77" spans="1:10" s="598" customFormat="1" ht="22.5">
      <c r="A77" s="770" t="s">
        <v>940</v>
      </c>
      <c r="B77" s="771"/>
      <c r="C77" s="772"/>
      <c r="D77" s="773"/>
      <c r="E77" s="773"/>
      <c r="F77" s="774"/>
      <c r="G77" s="775"/>
      <c r="H77" s="774"/>
      <c r="I77" s="776"/>
      <c r="J77" s="777"/>
    </row>
    <row r="78" spans="1:10" s="598" customFormat="1" ht="22.5">
      <c r="A78" s="778" t="s">
        <v>941</v>
      </c>
      <c r="B78" s="1219">
        <v>4</v>
      </c>
      <c r="C78" s="1220"/>
      <c r="D78" s="1219">
        <v>4</v>
      </c>
      <c r="E78" s="1220"/>
      <c r="F78" s="780"/>
      <c r="G78" s="781"/>
      <c r="H78" s="779" t="str">
        <f>IF(G78="","",G78-B78)</f>
        <v/>
      </c>
      <c r="I78" s="782"/>
      <c r="J78" s="783"/>
    </row>
    <row r="79" spans="1:10" s="598" customFormat="1" ht="22.5">
      <c r="A79" s="784" t="s">
        <v>942</v>
      </c>
      <c r="B79" s="1219">
        <v>4</v>
      </c>
      <c r="C79" s="1220"/>
      <c r="D79" s="1219">
        <v>4</v>
      </c>
      <c r="E79" s="1220"/>
      <c r="F79" s="785"/>
      <c r="G79" s="786"/>
      <c r="H79" s="779" t="str">
        <f>IF(G79="","",G79-B79)</f>
        <v/>
      </c>
      <c r="I79" s="787"/>
      <c r="J79" s="788"/>
    </row>
    <row r="80" spans="1:10" s="598" customFormat="1" ht="22.5">
      <c r="A80" s="784" t="s">
        <v>943</v>
      </c>
      <c r="B80" s="1219">
        <v>4</v>
      </c>
      <c r="C80" s="1220"/>
      <c r="D80" s="1219">
        <v>4</v>
      </c>
      <c r="E80" s="1220"/>
      <c r="F80" s="785"/>
      <c r="G80" s="786"/>
      <c r="H80" s="779" t="str">
        <f>IF(G80="","",G80-B80)</f>
        <v/>
      </c>
      <c r="I80" s="787"/>
      <c r="J80" s="788"/>
    </row>
    <row r="81" spans="1:10" s="598" customFormat="1" ht="22.5">
      <c r="A81" s="784" t="s">
        <v>944</v>
      </c>
      <c r="B81" s="1219">
        <v>4</v>
      </c>
      <c r="C81" s="1220"/>
      <c r="D81" s="1219">
        <v>4</v>
      </c>
      <c r="E81" s="1220"/>
      <c r="F81" s="785"/>
      <c r="G81" s="786"/>
      <c r="H81" s="779" t="str">
        <f>IF(G81="","",G81-B81)</f>
        <v/>
      </c>
      <c r="I81" s="787"/>
      <c r="J81" s="788"/>
    </row>
    <row r="82" spans="1:10" s="598" customFormat="1" ht="22.5">
      <c r="A82" s="784" t="s">
        <v>945</v>
      </c>
      <c r="B82" s="1219">
        <v>5</v>
      </c>
      <c r="C82" s="1220"/>
      <c r="D82" s="1219">
        <v>5</v>
      </c>
      <c r="E82" s="1220"/>
      <c r="F82" s="785"/>
      <c r="G82" s="786"/>
      <c r="H82" s="779" t="str">
        <f>IF(G82="","",G82-B82)</f>
        <v/>
      </c>
      <c r="I82" s="792"/>
      <c r="J82" s="793"/>
    </row>
    <row r="83" spans="1:10" s="598" customFormat="1" ht="22.5">
      <c r="A83" s="770" t="s">
        <v>1164</v>
      </c>
      <c r="B83" s="771"/>
      <c r="C83" s="772"/>
      <c r="D83" s="773"/>
      <c r="E83" s="773"/>
      <c r="F83" s="774"/>
      <c r="G83" s="775"/>
      <c r="H83" s="794"/>
      <c r="I83" s="795"/>
      <c r="J83" s="796"/>
    </row>
    <row r="84" spans="1:10" s="598" customFormat="1" ht="22.5">
      <c r="A84" s="778" t="s">
        <v>946</v>
      </c>
      <c r="B84" s="1219"/>
      <c r="C84" s="1220"/>
      <c r="D84" s="797"/>
      <c r="E84" s="797"/>
      <c r="F84" s="780"/>
      <c r="G84" s="781"/>
      <c r="H84" s="798" t="str">
        <f>IF(G84="","",G84-B84)</f>
        <v/>
      </c>
      <c r="I84" s="799"/>
      <c r="J84" s="800"/>
    </row>
    <row r="85" spans="1:10" s="598" customFormat="1" ht="22.5">
      <c r="A85" s="784" t="s">
        <v>947</v>
      </c>
      <c r="B85" s="1219"/>
      <c r="C85" s="1220"/>
      <c r="D85" s="797"/>
      <c r="E85" s="797"/>
      <c r="F85" s="785"/>
      <c r="G85" s="786"/>
      <c r="H85" s="798" t="str">
        <f>IF(G85="","",G85-B85)</f>
        <v/>
      </c>
      <c r="I85" s="801"/>
      <c r="J85" s="802"/>
    </row>
    <row r="86" spans="1:10" s="598" customFormat="1" ht="22.5">
      <c r="A86" s="784" t="s">
        <v>948</v>
      </c>
      <c r="B86" s="1219"/>
      <c r="C86" s="1220"/>
      <c r="D86" s="797"/>
      <c r="E86" s="797"/>
      <c r="F86" s="785"/>
      <c r="G86" s="786"/>
      <c r="H86" s="798" t="str">
        <f>IF(G86="","",G86-B86)</f>
        <v/>
      </c>
      <c r="I86" s="801"/>
      <c r="J86" s="802"/>
    </row>
    <row r="87" spans="1:10" s="598" customFormat="1" ht="22.5">
      <c r="A87" s="784" t="s">
        <v>949</v>
      </c>
      <c r="B87" s="1219"/>
      <c r="C87" s="1220"/>
      <c r="D87" s="797"/>
      <c r="E87" s="797"/>
      <c r="F87" s="785"/>
      <c r="G87" s="786"/>
      <c r="H87" s="798" t="str">
        <f>IF(G87="","",G87-B87)</f>
        <v/>
      </c>
      <c r="I87" s="801"/>
      <c r="J87" s="802"/>
    </row>
    <row r="88" spans="1:10" s="598" customFormat="1" ht="22.5">
      <c r="A88" s="789"/>
      <c r="B88" s="803"/>
      <c r="C88" s="804"/>
      <c r="D88" s="805"/>
      <c r="E88" s="805"/>
      <c r="F88" s="790"/>
      <c r="G88" s="806"/>
      <c r="H88" s="807"/>
      <c r="I88" s="808"/>
      <c r="J88" s="809"/>
    </row>
    <row r="89" spans="1:10" s="598" customFormat="1" ht="22.5">
      <c r="A89" s="771"/>
      <c r="B89" s="766"/>
      <c r="C89" s="810"/>
      <c r="D89" s="810"/>
      <c r="E89" s="810"/>
      <c r="F89" s="810"/>
      <c r="G89" s="810"/>
      <c r="H89" s="810"/>
      <c r="I89" s="810"/>
      <c r="J89" s="810"/>
    </row>
    <row r="90" spans="1:10" s="598" customFormat="1" ht="22.5">
      <c r="A90" s="1223" t="s">
        <v>950</v>
      </c>
      <c r="B90" s="1224"/>
      <c r="C90" s="742"/>
      <c r="D90" s="1223" t="s">
        <v>581</v>
      </c>
      <c r="E90" s="1225"/>
      <c r="F90" s="1223" t="s">
        <v>951</v>
      </c>
      <c r="G90" s="1225"/>
      <c r="H90" s="1223" t="s">
        <v>952</v>
      </c>
      <c r="I90" s="1224"/>
      <c r="J90" s="1225"/>
    </row>
    <row r="91" spans="1:10" s="598" customFormat="1" ht="22.5" customHeight="1">
      <c r="A91" s="1226" t="s">
        <v>1141</v>
      </c>
      <c r="B91" s="1227"/>
      <c r="C91" s="1228"/>
      <c r="D91" s="1221">
        <v>10</v>
      </c>
      <c r="E91" s="1222"/>
      <c r="F91" s="1221">
        <v>3</v>
      </c>
      <c r="G91" s="1222"/>
      <c r="H91" s="1311">
        <f>D91*F91</f>
        <v>30</v>
      </c>
      <c r="I91" s="1312"/>
      <c r="J91" s="1313"/>
    </row>
    <row r="92" spans="1:10" ht="24.75" customHeight="1">
      <c r="A92" s="1317" t="s">
        <v>1142</v>
      </c>
      <c r="B92" s="1318"/>
      <c r="C92" s="1319"/>
      <c r="D92" s="1329">
        <f>IF(COUNTIF($G$70:$G$74,"&gt;0")+COUNTIF($G$78:$G$82,"&gt;0")+COUNTIF($G$84:$G$87,"&gt;0") &gt;0,COUNTIF($H$70:$H$74,"-1")+COUNTIF($H$78:$H$82,"-1")+COUNTIF($H$84:$H$87,"-1"),0)</f>
        <v>0</v>
      </c>
      <c r="E92" s="1330"/>
      <c r="F92" s="1329">
        <v>2</v>
      </c>
      <c r="G92" s="1330"/>
      <c r="H92" s="1323">
        <f>D92*F92</f>
        <v>0</v>
      </c>
      <c r="I92" s="1324"/>
      <c r="J92" s="1325"/>
    </row>
    <row r="93" spans="1:10" s="598" customFormat="1" ht="22.5" customHeight="1">
      <c r="A93" s="1317" t="s">
        <v>1143</v>
      </c>
      <c r="B93" s="1318"/>
      <c r="C93" s="1319"/>
      <c r="D93" s="1329">
        <f>IF(COUNTIF($G$70:$G$74,"&gt;0")+COUNTIF($G$78:$G$82,"&gt;0")+COUNTIF($G$84:$G$87,"&gt;0") &gt;0,COUNTIF($H$70:$H$74,"-2")+COUNTIF($H$78:$H$82,"-2")+COUNTIF($H$84:$H$87,"-2"),0)</f>
        <v>0</v>
      </c>
      <c r="E93" s="1330"/>
      <c r="F93" s="1329">
        <v>1</v>
      </c>
      <c r="G93" s="1330"/>
      <c r="H93" s="1323">
        <f>D93*F93</f>
        <v>0</v>
      </c>
      <c r="I93" s="1324"/>
      <c r="J93" s="1325"/>
    </row>
    <row r="94" spans="1:10" s="598" customFormat="1" ht="22.5" customHeight="1">
      <c r="A94" s="1320" t="s">
        <v>1144</v>
      </c>
      <c r="B94" s="1321"/>
      <c r="C94" s="1322"/>
      <c r="D94" s="1331">
        <f>IF(COUNTIF($G$70:$G$74,"&gt;0")+COUNTIF($G$78:$G$82,"&gt;0")+COUNTIF($G$84:$G$87,"&gt;0") &gt;0,COUNTIF($H$70:$H$74,"-3")+COUNTIF($H$78:$H$82,"-3")+COUNTIF($H$84:$H$87,"-3"),0)</f>
        <v>0</v>
      </c>
      <c r="E94" s="1332"/>
      <c r="F94" s="1299">
        <v>0</v>
      </c>
      <c r="G94" s="1301"/>
      <c r="H94" s="1326">
        <f>D94*F94</f>
        <v>0</v>
      </c>
      <c r="I94" s="1327"/>
      <c r="J94" s="1328"/>
    </row>
    <row r="95" spans="1:10" s="598" customFormat="1" ht="22.5">
      <c r="A95" s="1314" t="s">
        <v>462</v>
      </c>
      <c r="B95" s="1315"/>
      <c r="C95" s="1315"/>
      <c r="D95" s="1315"/>
      <c r="E95" s="1315"/>
      <c r="F95" s="1315"/>
      <c r="G95" s="1316"/>
      <c r="H95" s="1223">
        <f>SUM(H91:J94)</f>
        <v>30</v>
      </c>
      <c r="I95" s="1224"/>
      <c r="J95" s="1225"/>
    </row>
    <row r="96" spans="1:10" s="598" customFormat="1" ht="22.5">
      <c r="A96" s="1302" t="s">
        <v>1271</v>
      </c>
      <c r="B96" s="1303"/>
      <c r="C96" s="1303"/>
      <c r="D96" s="1303"/>
      <c r="E96" s="1303"/>
      <c r="F96" s="1303"/>
      <c r="G96" s="1304"/>
      <c r="H96" s="1308">
        <f>IF(H95&gt;0,(H95/(SUM(D91:E94)*3)*20),0)</f>
        <v>20</v>
      </c>
      <c r="I96" s="1309"/>
      <c r="J96" s="1310"/>
    </row>
    <row r="97" spans="1:10" s="598" customFormat="1" ht="22.5">
      <c r="A97" s="811"/>
      <c r="B97" s="811"/>
      <c r="C97" s="811"/>
      <c r="D97" s="811"/>
      <c r="E97" s="811"/>
      <c r="F97" s="811"/>
      <c r="G97" s="811"/>
      <c r="H97" s="811"/>
      <c r="I97" s="811"/>
    </row>
    <row r="98" spans="1:10" s="598" customFormat="1" ht="22.5">
      <c r="A98" s="1305" t="s">
        <v>953</v>
      </c>
      <c r="B98" s="1306"/>
      <c r="C98" s="1306"/>
      <c r="D98" s="1306"/>
      <c r="E98" s="1306"/>
      <c r="F98" s="1306"/>
      <c r="G98" s="1306"/>
      <c r="H98" s="1306"/>
      <c r="I98" s="1306"/>
    </row>
    <row r="99" spans="1:10" s="813" customFormat="1" ht="22.5">
      <c r="A99" s="1223" t="s">
        <v>954</v>
      </c>
      <c r="B99" s="1225"/>
      <c r="C99" s="1223" t="s">
        <v>955</v>
      </c>
      <c r="D99" s="1224"/>
      <c r="E99" s="1224"/>
      <c r="F99" s="1225"/>
      <c r="G99" s="1307"/>
      <c r="H99" s="1307"/>
      <c r="I99" s="812"/>
    </row>
    <row r="100" spans="1:10" s="813" customFormat="1" ht="22.5">
      <c r="A100" s="1351" t="s">
        <v>1269</v>
      </c>
      <c r="B100" s="1352"/>
      <c r="C100" s="1343">
        <f>J64</f>
        <v>75.930000000000007</v>
      </c>
      <c r="D100" s="1344"/>
      <c r="E100" s="1344"/>
      <c r="F100" s="1345"/>
      <c r="G100" s="1324"/>
      <c r="H100" s="1324"/>
      <c r="I100" s="812"/>
    </row>
    <row r="101" spans="1:10" s="813" customFormat="1" ht="22.5">
      <c r="A101" s="1346" t="s">
        <v>1270</v>
      </c>
      <c r="B101" s="1347"/>
      <c r="C101" s="1348">
        <f>H96</f>
        <v>20</v>
      </c>
      <c r="D101" s="1349"/>
      <c r="E101" s="1349"/>
      <c r="F101" s="1350"/>
      <c r="G101" s="1324"/>
      <c r="H101" s="1324"/>
      <c r="I101" s="812"/>
    </row>
    <row r="102" spans="1:10" s="813" customFormat="1" ht="22.5">
      <c r="A102" s="1335" t="s">
        <v>956</v>
      </c>
      <c r="B102" s="1336"/>
      <c r="C102" s="1337">
        <f>SUM(C100:F101)</f>
        <v>95.93</v>
      </c>
      <c r="D102" s="1338"/>
      <c r="E102" s="1338"/>
      <c r="F102" s="1339"/>
      <c r="G102" s="1340"/>
      <c r="H102" s="1340"/>
      <c r="I102" s="812"/>
    </row>
    <row r="103" spans="1:10" s="813" customFormat="1" ht="22.5">
      <c r="A103" s="814"/>
      <c r="B103" s="815"/>
      <c r="C103" s="815"/>
      <c r="D103" s="815"/>
      <c r="E103" s="815"/>
      <c r="F103" s="815"/>
      <c r="G103" s="815"/>
      <c r="H103" s="815"/>
      <c r="I103" s="815"/>
    </row>
    <row r="104" spans="1:10" s="603" customFormat="1" ht="22.5">
      <c r="A104" s="816" t="s">
        <v>957</v>
      </c>
      <c r="B104" s="815"/>
      <c r="C104" s="815"/>
      <c r="D104" s="815"/>
      <c r="E104" s="815"/>
      <c r="F104" s="815"/>
      <c r="G104" s="815"/>
      <c r="H104" s="815"/>
      <c r="I104" s="815"/>
    </row>
    <row r="105" spans="1:10" s="603" customFormat="1" ht="23.25">
      <c r="A105" s="817" t="s">
        <v>958</v>
      </c>
      <c r="B105" s="818" t="s">
        <v>959</v>
      </c>
      <c r="C105" s="818"/>
      <c r="D105" s="818"/>
      <c r="E105" s="819"/>
      <c r="F105" s="819"/>
      <c r="G105" s="819"/>
      <c r="H105" s="819"/>
      <c r="I105" s="819"/>
    </row>
    <row r="106" spans="1:10" s="603" customFormat="1" ht="23.25">
      <c r="A106" s="817" t="s">
        <v>958</v>
      </c>
      <c r="B106" s="818" t="s">
        <v>960</v>
      </c>
      <c r="C106" s="818"/>
      <c r="D106" s="818"/>
      <c r="E106" s="819"/>
      <c r="F106" s="819"/>
      <c r="G106" s="819"/>
      <c r="H106" s="819"/>
      <c r="I106" s="819"/>
    </row>
    <row r="107" spans="1:10" s="603" customFormat="1" ht="23.25">
      <c r="A107" s="817" t="s">
        <v>958</v>
      </c>
      <c r="B107" s="818" t="s">
        <v>961</v>
      </c>
      <c r="C107" s="818"/>
      <c r="D107" s="818"/>
      <c r="E107" s="819"/>
      <c r="F107" s="819"/>
      <c r="G107" s="819"/>
      <c r="H107" s="819"/>
      <c r="I107" s="819"/>
    </row>
    <row r="108" spans="1:10" s="603" customFormat="1" ht="23.25">
      <c r="A108" s="817" t="s">
        <v>958</v>
      </c>
      <c r="B108" s="818" t="s">
        <v>962</v>
      </c>
      <c r="C108" s="818"/>
      <c r="D108" s="818"/>
      <c r="E108" s="819"/>
      <c r="F108" s="819"/>
      <c r="G108" s="819"/>
      <c r="H108" s="819"/>
      <c r="I108" s="819"/>
    </row>
    <row r="109" spans="1:10" s="603" customFormat="1" ht="23.25">
      <c r="A109" s="817" t="s">
        <v>958</v>
      </c>
      <c r="B109" s="818" t="s">
        <v>963</v>
      </c>
      <c r="C109" s="818"/>
      <c r="D109" s="818"/>
      <c r="E109" s="819"/>
      <c r="F109" s="819"/>
      <c r="G109" s="819"/>
      <c r="H109" s="819"/>
      <c r="I109" s="819"/>
    </row>
    <row r="110" spans="1:10" s="598" customFormat="1" ht="22.5">
      <c r="A110" s="767"/>
      <c r="B110" s="820"/>
      <c r="C110" s="820"/>
      <c r="D110" s="820"/>
      <c r="E110" s="820"/>
      <c r="F110" s="820"/>
      <c r="G110" s="820"/>
      <c r="H110" s="820"/>
      <c r="I110" s="820"/>
    </row>
    <row r="111" spans="1:10" s="756" customFormat="1">
      <c r="A111" s="821" t="s">
        <v>964</v>
      </c>
      <c r="B111" s="822"/>
      <c r="C111" s="765"/>
      <c r="D111" s="765"/>
      <c r="E111" s="765"/>
      <c r="F111" s="765"/>
      <c r="G111" s="765"/>
      <c r="H111" s="765"/>
      <c r="I111" s="765"/>
      <c r="J111" s="823"/>
    </row>
    <row r="112" spans="1:10">
      <c r="A112" s="755" t="s">
        <v>965</v>
      </c>
      <c r="B112" s="603"/>
      <c r="C112" s="603"/>
      <c r="D112" s="603"/>
      <c r="E112" s="603"/>
      <c r="F112" s="603"/>
      <c r="H112" s="603"/>
      <c r="I112" s="603"/>
      <c r="J112" s="604"/>
    </row>
    <row r="113" spans="1:10" s="598" customFormat="1" ht="22.5">
      <c r="A113" s="755"/>
      <c r="B113" s="603"/>
      <c r="C113" s="603"/>
      <c r="D113" s="603"/>
      <c r="E113" s="603"/>
      <c r="F113" s="603"/>
      <c r="G113" s="603"/>
      <c r="H113" s="603"/>
      <c r="I113" s="603"/>
      <c r="J113" s="604"/>
    </row>
    <row r="114" spans="1:10" s="598" customFormat="1" ht="22.5">
      <c r="A114" s="755"/>
      <c r="B114" s="603"/>
      <c r="C114" s="603"/>
      <c r="D114" s="603"/>
      <c r="E114" s="603"/>
      <c r="F114" s="603"/>
      <c r="G114" s="603"/>
      <c r="H114" s="603"/>
      <c r="I114" s="603"/>
      <c r="J114" s="604"/>
    </row>
    <row r="115" spans="1:10" s="598" customFormat="1" ht="22.5">
      <c r="A115" s="755"/>
      <c r="B115" s="603"/>
      <c r="C115" s="603"/>
      <c r="D115" s="603"/>
      <c r="E115" s="603"/>
      <c r="F115" s="603"/>
      <c r="G115" s="603"/>
      <c r="H115" s="603"/>
      <c r="I115" s="603"/>
      <c r="J115" s="604"/>
    </row>
    <row r="116" spans="1:10" s="598" customFormat="1" ht="22.5">
      <c r="A116" s="755"/>
      <c r="B116" s="603"/>
      <c r="C116" s="603"/>
      <c r="D116" s="603"/>
      <c r="E116" s="603"/>
      <c r="F116" s="603"/>
      <c r="G116" s="603"/>
      <c r="H116" s="603"/>
      <c r="I116" s="603"/>
      <c r="J116" s="604"/>
    </row>
    <row r="117" spans="1:10" s="598" customFormat="1" ht="22.5">
      <c r="A117" s="755" t="s">
        <v>966</v>
      </c>
      <c r="B117" s="603"/>
      <c r="C117" s="603"/>
      <c r="D117" s="603"/>
      <c r="E117" s="603"/>
      <c r="F117" s="603"/>
      <c r="G117" s="603"/>
      <c r="H117" s="603"/>
      <c r="I117" s="603"/>
      <c r="J117" s="604"/>
    </row>
    <row r="118" spans="1:10" s="598" customFormat="1" ht="22.5">
      <c r="A118" s="755"/>
      <c r="B118" s="603"/>
      <c r="C118" s="603"/>
      <c r="D118" s="603"/>
      <c r="E118" s="603"/>
      <c r="F118" s="603"/>
      <c r="G118" s="603"/>
      <c r="H118" s="603"/>
      <c r="I118" s="603"/>
      <c r="J118" s="604"/>
    </row>
    <row r="119" spans="1:10" s="598" customFormat="1" ht="22.5">
      <c r="A119" s="755"/>
      <c r="B119" s="603"/>
      <c r="C119" s="603"/>
      <c r="D119" s="603"/>
      <c r="E119" s="603"/>
      <c r="F119" s="603"/>
      <c r="G119" s="603"/>
      <c r="H119" s="603"/>
      <c r="I119" s="603"/>
      <c r="J119" s="604"/>
    </row>
    <row r="120" spans="1:10" s="598" customFormat="1" ht="22.5">
      <c r="A120" s="755"/>
      <c r="B120" s="603"/>
      <c r="C120" s="603"/>
      <c r="D120" s="603"/>
      <c r="E120" s="603"/>
      <c r="F120" s="603"/>
      <c r="G120" s="603"/>
      <c r="H120" s="603"/>
      <c r="I120" s="603"/>
      <c r="J120" s="604"/>
    </row>
    <row r="121" spans="1:10" s="598" customFormat="1" ht="22.5">
      <c r="A121" s="824"/>
      <c r="B121" s="724"/>
      <c r="C121" s="724"/>
      <c r="D121" s="724"/>
      <c r="E121" s="724"/>
      <c r="F121" s="724"/>
      <c r="G121" s="724"/>
      <c r="H121" s="724"/>
      <c r="I121" s="724"/>
      <c r="J121" s="617"/>
    </row>
    <row r="122" spans="1:10" s="598" customFormat="1" ht="22.5">
      <c r="A122" s="825"/>
      <c r="B122" s="825"/>
      <c r="C122" s="766"/>
      <c r="D122" s="766"/>
      <c r="E122" s="766"/>
      <c r="F122" s="766"/>
      <c r="G122" s="766"/>
      <c r="H122" s="766"/>
      <c r="I122" s="766"/>
      <c r="J122" s="766"/>
    </row>
    <row r="123" spans="1:10" s="598" customFormat="1" ht="22.5">
      <c r="A123" s="1341" t="s">
        <v>967</v>
      </c>
      <c r="B123" s="1236"/>
      <c r="C123" s="1236"/>
      <c r="D123" s="1236"/>
      <c r="E123" s="1236"/>
      <c r="F123" s="1236"/>
      <c r="G123" s="1236"/>
      <c r="H123" s="1236"/>
      <c r="I123" s="1236"/>
      <c r="J123" s="1342"/>
    </row>
    <row r="124" spans="1:10" s="598" customFormat="1" ht="22.5">
      <c r="A124" s="826" t="s">
        <v>968</v>
      </c>
      <c r="B124" s="827"/>
      <c r="C124" s="827"/>
      <c r="D124" s="827"/>
      <c r="E124" s="826" t="s">
        <v>969</v>
      </c>
      <c r="F124" s="827"/>
      <c r="G124" s="827"/>
      <c r="H124" s="827"/>
      <c r="I124" s="827"/>
      <c r="J124" s="828"/>
    </row>
    <row r="125" spans="1:10" s="598" customFormat="1" ht="22.5">
      <c r="A125" s="601" t="s">
        <v>970</v>
      </c>
      <c r="B125" s="605"/>
      <c r="C125" s="602"/>
      <c r="D125" s="602"/>
      <c r="E125" s="601" t="s">
        <v>971</v>
      </c>
      <c r="F125" s="829"/>
      <c r="G125" s="829"/>
      <c r="H125" s="603"/>
      <c r="I125" s="603"/>
      <c r="J125" s="604"/>
    </row>
    <row r="126" spans="1:10" s="598" customFormat="1" ht="22.5">
      <c r="A126" s="601" t="s">
        <v>972</v>
      </c>
      <c r="B126" s="605"/>
      <c r="C126" s="602"/>
      <c r="D126" s="602"/>
      <c r="E126" s="601" t="s">
        <v>973</v>
      </c>
      <c r="F126" s="829"/>
      <c r="G126" s="829"/>
      <c r="H126" s="603"/>
      <c r="I126" s="603"/>
      <c r="J126" s="604"/>
    </row>
    <row r="127" spans="1:10" s="598" customFormat="1" ht="22.5">
      <c r="A127" s="601"/>
      <c r="B127" s="605"/>
      <c r="C127" s="605"/>
      <c r="D127" s="1"/>
      <c r="E127" s="601"/>
      <c r="F127" s="605"/>
      <c r="G127" s="602"/>
      <c r="H127" s="602"/>
      <c r="I127" s="603"/>
      <c r="J127" s="604"/>
    </row>
    <row r="128" spans="1:10" s="598" customFormat="1" ht="22.5">
      <c r="A128" s="606" t="s">
        <v>974</v>
      </c>
      <c r="B128" s="603" t="s">
        <v>975</v>
      </c>
      <c r="C128" s="603"/>
      <c r="D128" s="602"/>
      <c r="E128" s="607"/>
      <c r="F128" s="602"/>
      <c r="G128" s="603"/>
      <c r="H128" s="608" t="s">
        <v>974</v>
      </c>
      <c r="I128" s="602" t="s">
        <v>975</v>
      </c>
      <c r="J128" s="604"/>
    </row>
    <row r="129" spans="1:10" s="598" customFormat="1" ht="22.5">
      <c r="A129" s="606" t="s">
        <v>1316</v>
      </c>
      <c r="B129" s="608"/>
      <c r="C129" s="603"/>
      <c r="D129" s="609"/>
      <c r="E129" s="607"/>
      <c r="F129" s="602"/>
      <c r="G129" s="1333" t="s">
        <v>1317</v>
      </c>
      <c r="H129" s="1334"/>
      <c r="I129" s="1334"/>
      <c r="J129" s="604"/>
    </row>
    <row r="130" spans="1:10">
      <c r="A130" s="607"/>
      <c r="B130" s="602"/>
      <c r="C130" s="756"/>
      <c r="D130" s="602"/>
      <c r="E130" s="607"/>
      <c r="F130" s="602"/>
      <c r="G130" s="602"/>
      <c r="H130" s="756"/>
      <c r="I130" s="756"/>
      <c r="J130" s="604"/>
    </row>
    <row r="131" spans="1:10">
      <c r="A131" s="610"/>
      <c r="B131" s="721"/>
      <c r="C131" s="611"/>
      <c r="D131" s="612"/>
      <c r="E131" s="613"/>
      <c r="F131" s="602"/>
      <c r="G131" s="756"/>
      <c r="H131" s="608" t="s">
        <v>974</v>
      </c>
      <c r="I131" s="602" t="s">
        <v>976</v>
      </c>
      <c r="J131" s="604"/>
    </row>
    <row r="132" spans="1:10">
      <c r="A132" s="610"/>
      <c r="B132" s="721"/>
      <c r="C132" s="611"/>
      <c r="D132" s="614"/>
      <c r="E132" s="613"/>
      <c r="F132" s="602"/>
      <c r="G132" s="1333" t="s">
        <v>1318</v>
      </c>
      <c r="H132" s="1334"/>
      <c r="I132" s="1334"/>
      <c r="J132" s="830"/>
    </row>
    <row r="133" spans="1:10">
      <c r="A133" s="615"/>
      <c r="B133" s="616"/>
      <c r="C133" s="831"/>
      <c r="D133" s="616"/>
      <c r="E133" s="613"/>
      <c r="F133" s="602"/>
      <c r="G133" s="602"/>
      <c r="H133" s="756"/>
      <c r="I133" s="756"/>
      <c r="J133" s="604"/>
    </row>
    <row r="134" spans="1:10">
      <c r="A134" s="610"/>
      <c r="B134" s="721"/>
      <c r="C134" s="611"/>
      <c r="D134" s="612"/>
      <c r="E134" s="613"/>
      <c r="F134" s="602"/>
      <c r="G134" s="756"/>
      <c r="H134" s="608" t="s">
        <v>977</v>
      </c>
      <c r="I134" s="602" t="s">
        <v>978</v>
      </c>
      <c r="J134" s="604"/>
    </row>
    <row r="135" spans="1:10">
      <c r="A135" s="610"/>
      <c r="B135" s="721"/>
      <c r="C135" s="611"/>
      <c r="D135" s="612"/>
      <c r="E135" s="613"/>
      <c r="F135" s="602"/>
      <c r="G135" s="1333" t="s">
        <v>1319</v>
      </c>
      <c r="H135" s="1334"/>
      <c r="I135" s="1334"/>
      <c r="J135" s="604"/>
    </row>
    <row r="136" spans="1:10">
      <c r="A136" s="610"/>
      <c r="B136" s="721"/>
      <c r="C136" s="611"/>
      <c r="D136" s="612"/>
      <c r="E136" s="711" t="s">
        <v>1165</v>
      </c>
      <c r="F136" s="832" t="s">
        <v>1166</v>
      </c>
      <c r="G136" s="833"/>
      <c r="H136" s="608"/>
      <c r="I136" s="602"/>
      <c r="J136" s="604"/>
    </row>
    <row r="137" spans="1:10">
      <c r="A137" s="722"/>
      <c r="B137" s="723"/>
      <c r="C137" s="724"/>
      <c r="D137" s="725"/>
      <c r="E137" s="712"/>
      <c r="F137" s="834" t="s">
        <v>1167</v>
      </c>
      <c r="G137" s="835"/>
      <c r="H137" s="836"/>
      <c r="I137" s="836"/>
      <c r="J137" s="617"/>
    </row>
  </sheetData>
  <sheetProtection password="C924" sheet="1" formatCells="0" formatColumns="0" formatRows="0" insertRows="0" deleteRows="0"/>
  <mergeCells count="160">
    <mergeCell ref="G135:I135"/>
    <mergeCell ref="A102:B102"/>
    <mergeCell ref="C102:F102"/>
    <mergeCell ref="G102:H102"/>
    <mergeCell ref="A123:J123"/>
    <mergeCell ref="G129:I129"/>
    <mergeCell ref="G132:I132"/>
    <mergeCell ref="C100:F100"/>
    <mergeCell ref="G100:H100"/>
    <mergeCell ref="A101:B101"/>
    <mergeCell ref="C101:F101"/>
    <mergeCell ref="G101:H101"/>
    <mergeCell ref="A100:B100"/>
    <mergeCell ref="A96:G96"/>
    <mergeCell ref="A98:I98"/>
    <mergeCell ref="A99:B99"/>
    <mergeCell ref="C99:F99"/>
    <mergeCell ref="G99:H99"/>
    <mergeCell ref="H96:J96"/>
    <mergeCell ref="H91:J91"/>
    <mergeCell ref="A95:G95"/>
    <mergeCell ref="H95:J95"/>
    <mergeCell ref="A93:C93"/>
    <mergeCell ref="A94:C94"/>
    <mergeCell ref="H93:J93"/>
    <mergeCell ref="H94:J94"/>
    <mergeCell ref="D93:E93"/>
    <mergeCell ref="D92:E92"/>
    <mergeCell ref="D94:E94"/>
    <mergeCell ref="F94:G94"/>
    <mergeCell ref="H92:J92"/>
    <mergeCell ref="F93:G93"/>
    <mergeCell ref="A92:C92"/>
    <mergeCell ref="F92:G92"/>
    <mergeCell ref="A53:J53"/>
    <mergeCell ref="A59:J59"/>
    <mergeCell ref="C60:E60"/>
    <mergeCell ref="F60:G60"/>
    <mergeCell ref="C61:E61"/>
    <mergeCell ref="F61:G61"/>
    <mergeCell ref="C62:E62"/>
    <mergeCell ref="H90:J90"/>
    <mergeCell ref="A56:A57"/>
    <mergeCell ref="C56:E56"/>
    <mergeCell ref="F56:G56"/>
    <mergeCell ref="C57:E57"/>
    <mergeCell ref="F57:G57"/>
    <mergeCell ref="D74:E74"/>
    <mergeCell ref="A75:A76"/>
    <mergeCell ref="B72:C72"/>
    <mergeCell ref="B82:C82"/>
    <mergeCell ref="B70:C70"/>
    <mergeCell ref="I67:J68"/>
    <mergeCell ref="B68:C68"/>
    <mergeCell ref="D68:E68"/>
    <mergeCell ref="A58:I58"/>
    <mergeCell ref="A63:I63"/>
    <mergeCell ref="F62:G62"/>
    <mergeCell ref="C45:E45"/>
    <mergeCell ref="F45:G45"/>
    <mergeCell ref="C37:E37"/>
    <mergeCell ref="C39:E39"/>
    <mergeCell ref="C32:E32"/>
    <mergeCell ref="F32:G32"/>
    <mergeCell ref="C41:E41"/>
    <mergeCell ref="A43:I43"/>
    <mergeCell ref="A33:I33"/>
    <mergeCell ref="B18:B19"/>
    <mergeCell ref="C29:E29"/>
    <mergeCell ref="C30:E30"/>
    <mergeCell ref="F30:G30"/>
    <mergeCell ref="A20:J20"/>
    <mergeCell ref="H25:H26"/>
    <mergeCell ref="A27:A28"/>
    <mergeCell ref="C27:E27"/>
    <mergeCell ref="F22:G22"/>
    <mergeCell ref="I25:I26"/>
    <mergeCell ref="A23:A24"/>
    <mergeCell ref="C23:E23"/>
    <mergeCell ref="F28:G28"/>
    <mergeCell ref="A25:A26"/>
    <mergeCell ref="C25:E26"/>
    <mergeCell ref="F25:G26"/>
    <mergeCell ref="F18:G19"/>
    <mergeCell ref="H18:H19"/>
    <mergeCell ref="I18:I19"/>
    <mergeCell ref="C28:E28"/>
    <mergeCell ref="A29:A30"/>
    <mergeCell ref="A44:J44"/>
    <mergeCell ref="A21:A22"/>
    <mergeCell ref="C21:E21"/>
    <mergeCell ref="F21:G21"/>
    <mergeCell ref="C22:E22"/>
    <mergeCell ref="F23:G23"/>
    <mergeCell ref="C24:E24"/>
    <mergeCell ref="F24:G24"/>
    <mergeCell ref="A31:A32"/>
    <mergeCell ref="C31:E31"/>
    <mergeCell ref="F27:G27"/>
    <mergeCell ref="B25:B26"/>
    <mergeCell ref="F31:G31"/>
    <mergeCell ref="K5:L5"/>
    <mergeCell ref="A8:I8"/>
    <mergeCell ref="A17:I17"/>
    <mergeCell ref="A18:A19"/>
    <mergeCell ref="C18:E19"/>
    <mergeCell ref="A34:J34"/>
    <mergeCell ref="F54:G54"/>
    <mergeCell ref="C55:E55"/>
    <mergeCell ref="F55:G55"/>
    <mergeCell ref="F51:G52"/>
    <mergeCell ref="A54:A55"/>
    <mergeCell ref="C46:E46"/>
    <mergeCell ref="C47:E47"/>
    <mergeCell ref="C48:E48"/>
    <mergeCell ref="C35:E35"/>
    <mergeCell ref="A51:A52"/>
    <mergeCell ref="A50:I50"/>
    <mergeCell ref="H51:H52"/>
    <mergeCell ref="B51:B52"/>
    <mergeCell ref="I51:I52"/>
    <mergeCell ref="C51:E52"/>
    <mergeCell ref="C49:E49"/>
    <mergeCell ref="A5:J5"/>
    <mergeCell ref="A6:J6"/>
    <mergeCell ref="B79:C79"/>
    <mergeCell ref="D79:E79"/>
    <mergeCell ref="B78:C78"/>
    <mergeCell ref="D78:E78"/>
    <mergeCell ref="D72:E72"/>
    <mergeCell ref="B73:C73"/>
    <mergeCell ref="D73:E73"/>
    <mergeCell ref="C54:E54"/>
    <mergeCell ref="B71:C71"/>
    <mergeCell ref="A64:I64"/>
    <mergeCell ref="A66:I66"/>
    <mergeCell ref="A67:A68"/>
    <mergeCell ref="I75:J76"/>
    <mergeCell ref="B76:C76"/>
    <mergeCell ref="D76:E76"/>
    <mergeCell ref="B67:H67"/>
    <mergeCell ref="B75:H75"/>
    <mergeCell ref="D71:E71"/>
    <mergeCell ref="B74:C74"/>
    <mergeCell ref="D70:E70"/>
    <mergeCell ref="B80:C80"/>
    <mergeCell ref="D80:E80"/>
    <mergeCell ref="B81:C81"/>
    <mergeCell ref="D81:E81"/>
    <mergeCell ref="D82:E82"/>
    <mergeCell ref="F91:G91"/>
    <mergeCell ref="B87:C87"/>
    <mergeCell ref="A90:B90"/>
    <mergeCell ref="D90:E90"/>
    <mergeCell ref="F90:G90"/>
    <mergeCell ref="B84:C84"/>
    <mergeCell ref="B85:C85"/>
    <mergeCell ref="B86:C86"/>
    <mergeCell ref="D91:E91"/>
    <mergeCell ref="A91:C91"/>
  </mergeCells>
  <phoneticPr fontId="78" type="noConversion"/>
  <printOptions horizontalCentered="1"/>
  <pageMargins left="0.19685039370078741" right="0.19685039370078741" top="0.39370078740157483" bottom="0.39370078740157483" header="0.51181102362204722" footer="0.51181102362204722"/>
  <pageSetup paperSize="9" scale="94" orientation="landscape" r:id="rId1"/>
  <headerFooter alignWithMargins="0"/>
  <rowBreaks count="4" manualBreakCount="4">
    <brk id="24" max="9" man="1"/>
    <brk id="50" max="9" man="1"/>
    <brk id="74" max="9" man="1"/>
    <brk id="97" max="9" man="1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7030A0"/>
  </sheetPr>
  <dimension ref="A1:X157"/>
  <sheetViews>
    <sheetView showGridLines="0" topLeftCell="D1" workbookViewId="0">
      <selection activeCell="J150" sqref="J150"/>
    </sheetView>
  </sheetViews>
  <sheetFormatPr defaultRowHeight="22.5"/>
  <cols>
    <col min="1" max="1" width="3.7109375" style="1025" customWidth="1"/>
    <col min="2" max="2" width="36.42578125" style="952" customWidth="1"/>
    <col min="3" max="3" width="25.5703125" style="952" customWidth="1"/>
    <col min="4" max="4" width="19.42578125" style="952" customWidth="1"/>
    <col min="5" max="5" width="35.140625" style="952" customWidth="1"/>
    <col min="6" max="16384" width="9.140625" style="952"/>
  </cols>
  <sheetData>
    <row r="1" spans="1:5" ht="27.75" customHeight="1">
      <c r="A1" s="1423" t="s">
        <v>991</v>
      </c>
      <c r="B1" s="1423"/>
      <c r="C1" s="1423"/>
      <c r="D1" s="1423"/>
      <c r="E1" s="1423"/>
    </row>
    <row r="2" spans="1:5" ht="9.75" customHeight="1">
      <c r="A2" s="953"/>
      <c r="B2" s="954"/>
      <c r="C2" s="955"/>
      <c r="D2" s="956"/>
      <c r="E2" s="896"/>
    </row>
    <row r="3" spans="1:5" ht="24.75" hidden="1" customHeight="1">
      <c r="A3" s="957" t="s">
        <v>1337</v>
      </c>
      <c r="B3" s="958"/>
      <c r="C3" s="959"/>
      <c r="D3" s="959"/>
      <c r="E3" s="896"/>
    </row>
    <row r="4" spans="1:5" ht="24.75">
      <c r="A4" s="960"/>
      <c r="B4" s="961" t="s">
        <v>1338</v>
      </c>
      <c r="C4" s="1424" t="s">
        <v>1339</v>
      </c>
      <c r="D4" s="1425"/>
      <c r="E4" s="964" t="s">
        <v>474</v>
      </c>
    </row>
    <row r="5" spans="1:5" ht="24.75">
      <c r="A5" s="965"/>
      <c r="B5" s="966"/>
      <c r="C5" s="967" t="s">
        <v>1044</v>
      </c>
      <c r="D5" s="963" t="s">
        <v>0</v>
      </c>
      <c r="E5" s="968"/>
    </row>
    <row r="6" spans="1:5" ht="27.75">
      <c r="A6" s="969" t="s">
        <v>1</v>
      </c>
      <c r="B6" s="970"/>
      <c r="C6" s="971"/>
      <c r="D6" s="972"/>
      <c r="E6" s="961"/>
    </row>
    <row r="7" spans="1:5" ht="24.75">
      <c r="A7" s="973" t="s">
        <v>2</v>
      </c>
      <c r="B7" s="974"/>
      <c r="C7" s="975"/>
      <c r="D7" s="976"/>
      <c r="E7" s="974"/>
    </row>
    <row r="8" spans="1:5" ht="24.75">
      <c r="A8" s="977"/>
      <c r="B8" s="978" t="s">
        <v>3</v>
      </c>
      <c r="C8" s="974"/>
      <c r="D8" s="976"/>
      <c r="E8" s="974"/>
    </row>
    <row r="9" spans="1:5" ht="24.75">
      <c r="A9" s="977"/>
      <c r="B9" s="974" t="s">
        <v>4</v>
      </c>
      <c r="C9" s="975" t="s">
        <v>5</v>
      </c>
      <c r="D9" s="979" t="s">
        <v>6</v>
      </c>
      <c r="E9" s="974" t="s">
        <v>7</v>
      </c>
    </row>
    <row r="10" spans="1:5" ht="24.75">
      <c r="A10" s="977"/>
      <c r="B10" s="974" t="s">
        <v>8</v>
      </c>
      <c r="C10" s="975"/>
      <c r="D10" s="979"/>
      <c r="E10" s="974"/>
    </row>
    <row r="11" spans="1:5" ht="24.75">
      <c r="A11" s="977"/>
      <c r="B11" s="974" t="s">
        <v>9</v>
      </c>
      <c r="C11" s="975" t="s">
        <v>5</v>
      </c>
      <c r="D11" s="979" t="s">
        <v>10</v>
      </c>
      <c r="E11" s="974" t="s">
        <v>11</v>
      </c>
    </row>
    <row r="12" spans="1:5" ht="24.75">
      <c r="A12" s="977"/>
      <c r="B12" s="980" t="s">
        <v>12</v>
      </c>
      <c r="C12" s="981"/>
      <c r="D12" s="982"/>
      <c r="E12" s="983"/>
    </row>
    <row r="13" spans="1:5" ht="45">
      <c r="A13" s="984"/>
      <c r="B13" s="985" t="s">
        <v>381</v>
      </c>
      <c r="C13" s="981" t="s">
        <v>13</v>
      </c>
      <c r="D13" s="986" t="s">
        <v>16</v>
      </c>
      <c r="E13" s="987" t="s">
        <v>1159</v>
      </c>
    </row>
    <row r="14" spans="1:5" ht="45.75" customHeight="1">
      <c r="A14" s="984"/>
      <c r="B14" s="988" t="s">
        <v>382</v>
      </c>
      <c r="C14" s="981" t="s">
        <v>15</v>
      </c>
      <c r="D14" s="986" t="s">
        <v>16</v>
      </c>
      <c r="E14" s="987" t="s">
        <v>1160</v>
      </c>
    </row>
    <row r="15" spans="1:5" ht="48.75" customHeight="1">
      <c r="A15" s="977"/>
      <c r="B15" s="985" t="s">
        <v>1086</v>
      </c>
      <c r="C15" s="981" t="s">
        <v>5</v>
      </c>
      <c r="D15" s="982" t="s">
        <v>17</v>
      </c>
      <c r="E15" s="980" t="s">
        <v>18</v>
      </c>
    </row>
    <row r="16" spans="1:5" ht="74.25">
      <c r="A16" s="977"/>
      <c r="B16" s="980" t="s">
        <v>19</v>
      </c>
      <c r="C16" s="989"/>
      <c r="D16" s="990" t="s">
        <v>20</v>
      </c>
      <c r="E16" s="980" t="s">
        <v>21</v>
      </c>
    </row>
    <row r="17" spans="1:5" ht="23.25" customHeight="1">
      <c r="A17" s="977"/>
      <c r="B17" s="980" t="s">
        <v>22</v>
      </c>
      <c r="C17" s="989"/>
      <c r="D17" s="991" t="s">
        <v>23</v>
      </c>
      <c r="E17" s="992" t="s">
        <v>24</v>
      </c>
    </row>
    <row r="18" spans="1:5" ht="24.75" customHeight="1">
      <c r="A18" s="977"/>
      <c r="B18" s="980" t="s">
        <v>25</v>
      </c>
      <c r="C18" s="981" t="s">
        <v>5</v>
      </c>
      <c r="D18" s="982" t="s">
        <v>26</v>
      </c>
      <c r="E18" s="983" t="s">
        <v>27</v>
      </c>
    </row>
    <row r="19" spans="1:5" ht="24.75">
      <c r="A19" s="977"/>
      <c r="B19" s="980" t="s">
        <v>28</v>
      </c>
      <c r="C19" s="981"/>
      <c r="D19" s="982"/>
      <c r="E19" s="983" t="s">
        <v>29</v>
      </c>
    </row>
    <row r="20" spans="1:5" ht="30.75" customHeight="1">
      <c r="A20" s="977"/>
      <c r="B20" s="980" t="s">
        <v>30</v>
      </c>
      <c r="C20" s="981" t="s">
        <v>5</v>
      </c>
      <c r="D20" s="982" t="s">
        <v>26</v>
      </c>
      <c r="E20" s="993" t="s">
        <v>31</v>
      </c>
    </row>
    <row r="21" spans="1:5" ht="24.75">
      <c r="A21" s="977"/>
      <c r="B21" s="978" t="s">
        <v>32</v>
      </c>
      <c r="C21" s="981"/>
      <c r="D21" s="982"/>
      <c r="E21" s="993"/>
    </row>
    <row r="22" spans="1:5" ht="24.75">
      <c r="A22" s="977"/>
      <c r="B22" s="994" t="s">
        <v>984</v>
      </c>
      <c r="C22" s="985"/>
      <c r="D22" s="982"/>
      <c r="E22" s="993"/>
    </row>
    <row r="23" spans="1:5" ht="31.5" customHeight="1">
      <c r="A23" s="977"/>
      <c r="B23" s="995" t="s">
        <v>33</v>
      </c>
      <c r="C23" s="996" t="s">
        <v>5</v>
      </c>
      <c r="D23" s="997" t="s">
        <v>26</v>
      </c>
      <c r="E23" s="998" t="s">
        <v>34</v>
      </c>
    </row>
    <row r="24" spans="1:5" ht="24.75">
      <c r="A24" s="977"/>
      <c r="B24" s="980" t="s">
        <v>12</v>
      </c>
      <c r="C24" s="981"/>
      <c r="D24" s="982"/>
      <c r="E24" s="983"/>
    </row>
    <row r="25" spans="1:5" ht="24.75">
      <c r="A25" s="984"/>
      <c r="B25" s="985" t="s">
        <v>1122</v>
      </c>
      <c r="C25" s="981" t="s">
        <v>13</v>
      </c>
      <c r="D25" s="982" t="s">
        <v>16</v>
      </c>
      <c r="E25" s="987" t="s">
        <v>1161</v>
      </c>
    </row>
    <row r="26" spans="1:5" ht="46.5">
      <c r="A26" s="984"/>
      <c r="B26" s="988" t="s">
        <v>1123</v>
      </c>
      <c r="C26" s="981" t="s">
        <v>15</v>
      </c>
      <c r="D26" s="982" t="s">
        <v>16</v>
      </c>
      <c r="E26" s="987" t="s">
        <v>1158</v>
      </c>
    </row>
    <row r="27" spans="1:5" ht="24.75" hidden="1">
      <c r="A27" s="984"/>
      <c r="B27" s="980" t="s">
        <v>35</v>
      </c>
      <c r="C27" s="981"/>
      <c r="D27" s="999"/>
      <c r="E27" s="987"/>
    </row>
    <row r="28" spans="1:5" ht="49.5" customHeight="1">
      <c r="A28" s="977"/>
      <c r="B28" s="980" t="s">
        <v>36</v>
      </c>
      <c r="C28" s="989"/>
      <c r="D28" s="990" t="s">
        <v>20</v>
      </c>
      <c r="E28" s="1000" t="s">
        <v>37</v>
      </c>
    </row>
    <row r="29" spans="1:5" ht="22.5" customHeight="1">
      <c r="A29" s="977"/>
      <c r="B29" s="980" t="s">
        <v>38</v>
      </c>
      <c r="C29" s="989"/>
      <c r="D29" s="991" t="s">
        <v>23</v>
      </c>
      <c r="E29" s="992" t="s">
        <v>24</v>
      </c>
    </row>
    <row r="30" spans="1:5" ht="24.75">
      <c r="A30" s="977"/>
      <c r="B30" s="980"/>
      <c r="C30" s="989"/>
      <c r="D30" s="1001"/>
      <c r="E30" s="992"/>
    </row>
    <row r="31" spans="1:5" ht="26.25" customHeight="1">
      <c r="A31" s="977"/>
      <c r="B31" s="980" t="s">
        <v>39</v>
      </c>
      <c r="C31" s="981" t="s">
        <v>5</v>
      </c>
      <c r="D31" s="982" t="s">
        <v>26</v>
      </c>
      <c r="E31" s="983" t="s">
        <v>27</v>
      </c>
    </row>
    <row r="32" spans="1:5" ht="24.75">
      <c r="A32" s="977"/>
      <c r="B32" s="980" t="s">
        <v>40</v>
      </c>
      <c r="C32" s="981"/>
      <c r="D32" s="982"/>
      <c r="E32" s="983" t="s">
        <v>29</v>
      </c>
    </row>
    <row r="33" spans="1:5" ht="24.75">
      <c r="A33" s="977"/>
      <c r="B33" s="980" t="s">
        <v>41</v>
      </c>
      <c r="C33" s="981" t="s">
        <v>5</v>
      </c>
      <c r="D33" s="982" t="s">
        <v>26</v>
      </c>
      <c r="E33" s="993" t="s">
        <v>31</v>
      </c>
    </row>
    <row r="34" spans="1:5" ht="24.75">
      <c r="A34" s="977"/>
      <c r="B34" s="980"/>
      <c r="C34" s="981"/>
      <c r="D34" s="982"/>
      <c r="E34" s="993"/>
    </row>
    <row r="35" spans="1:5" ht="24.75" hidden="1">
      <c r="A35" s="1002" t="s">
        <v>297</v>
      </c>
      <c r="B35" s="1003"/>
      <c r="C35" s="1004"/>
      <c r="D35" s="1005"/>
      <c r="E35" s="1006"/>
    </row>
    <row r="36" spans="1:5" ht="24.75" hidden="1">
      <c r="A36" s="1007"/>
      <c r="B36" s="1008" t="s">
        <v>42</v>
      </c>
      <c r="C36" s="1009"/>
      <c r="D36" s="1010"/>
      <c r="E36" s="1011"/>
    </row>
    <row r="37" spans="1:5" ht="24.75" hidden="1">
      <c r="A37" s="1007"/>
      <c r="B37" s="1012" t="s">
        <v>43</v>
      </c>
      <c r="C37" s="1009"/>
      <c r="D37" s="1010"/>
      <c r="E37" s="1011"/>
    </row>
    <row r="38" spans="1:5" ht="24.75" hidden="1">
      <c r="A38" s="1007"/>
      <c r="B38" s="1013" t="s">
        <v>44</v>
      </c>
      <c r="C38" s="1009" t="s">
        <v>1040</v>
      </c>
      <c r="D38" s="1010" t="s">
        <v>6</v>
      </c>
      <c r="E38" s="1011" t="s">
        <v>45</v>
      </c>
    </row>
    <row r="39" spans="1:5" ht="46.5" hidden="1" customHeight="1">
      <c r="A39" s="1014"/>
      <c r="B39" s="1006" t="s">
        <v>46</v>
      </c>
      <c r="C39" s="1009" t="s">
        <v>1040</v>
      </c>
      <c r="D39" s="1010" t="s">
        <v>16</v>
      </c>
      <c r="E39" s="1011" t="s">
        <v>47</v>
      </c>
    </row>
    <row r="40" spans="1:5" ht="67.5" hidden="1">
      <c r="A40" s="1014"/>
      <c r="B40" s="1013" t="s">
        <v>48</v>
      </c>
      <c r="C40" s="1015"/>
      <c r="D40" s="1016" t="s">
        <v>20</v>
      </c>
      <c r="E40" s="1006" t="s">
        <v>37</v>
      </c>
    </row>
    <row r="41" spans="1:5" ht="46.5" hidden="1">
      <c r="A41" s="1014"/>
      <c r="B41" s="1013" t="s">
        <v>49</v>
      </c>
      <c r="C41" s="1015"/>
      <c r="D41" s="1017" t="s">
        <v>23</v>
      </c>
      <c r="E41" s="1018" t="s">
        <v>24</v>
      </c>
    </row>
    <row r="42" spans="1:5" ht="24.75" hidden="1">
      <c r="A42" s="1007"/>
      <c r="B42" s="1008" t="s">
        <v>50</v>
      </c>
      <c r="C42" s="1009"/>
      <c r="D42" s="1010"/>
      <c r="E42" s="1011"/>
    </row>
    <row r="43" spans="1:5" ht="24.75" hidden="1">
      <c r="A43" s="1007"/>
      <c r="B43" s="1012" t="s">
        <v>43</v>
      </c>
      <c r="C43" s="1009"/>
      <c r="D43" s="1010"/>
      <c r="E43" s="1011"/>
    </row>
    <row r="44" spans="1:5" ht="24.75" hidden="1">
      <c r="A44" s="1007"/>
      <c r="B44" s="1013" t="s">
        <v>44</v>
      </c>
      <c r="C44" s="1009" t="s">
        <v>1040</v>
      </c>
      <c r="D44" s="1019" t="s">
        <v>51</v>
      </c>
      <c r="E44" s="1020" t="s">
        <v>34</v>
      </c>
    </row>
    <row r="45" spans="1:5" ht="48.75" hidden="1" customHeight="1">
      <c r="A45" s="1014"/>
      <c r="B45" s="1006" t="s">
        <v>46</v>
      </c>
      <c r="C45" s="1009" t="s">
        <v>1040</v>
      </c>
      <c r="D45" s="1010" t="s">
        <v>52</v>
      </c>
      <c r="E45" s="1011" t="s">
        <v>47</v>
      </c>
    </row>
    <row r="46" spans="1:5" ht="67.5" hidden="1">
      <c r="A46" s="1014"/>
      <c r="B46" s="1013" t="s">
        <v>48</v>
      </c>
      <c r="C46" s="1015"/>
      <c r="D46" s="1016" t="s">
        <v>20</v>
      </c>
      <c r="E46" s="1006" t="s">
        <v>37</v>
      </c>
    </row>
    <row r="47" spans="1:5" ht="29.25" hidden="1" customHeight="1">
      <c r="A47" s="1014"/>
      <c r="B47" s="1013" t="s">
        <v>49</v>
      </c>
      <c r="C47" s="1015"/>
      <c r="D47" s="1017" t="s">
        <v>23</v>
      </c>
      <c r="E47" s="1018" t="s">
        <v>24</v>
      </c>
    </row>
    <row r="48" spans="1:5" ht="24.75">
      <c r="A48" s="973" t="s">
        <v>1095</v>
      </c>
      <c r="B48" s="985"/>
      <c r="C48" s="989"/>
      <c r="D48" s="1021"/>
      <c r="E48" s="903"/>
    </row>
    <row r="49" spans="1:5" ht="24.75">
      <c r="A49" s="977"/>
      <c r="B49" s="974" t="s">
        <v>1096</v>
      </c>
      <c r="C49" s="975" t="s">
        <v>81</v>
      </c>
      <c r="D49" s="979" t="s">
        <v>14</v>
      </c>
      <c r="E49" s="980"/>
    </row>
    <row r="50" spans="1:5" ht="24.75">
      <c r="A50" s="977"/>
      <c r="B50" s="974" t="s">
        <v>82</v>
      </c>
      <c r="C50" s="975"/>
      <c r="D50" s="979"/>
      <c r="E50" s="980"/>
    </row>
    <row r="51" spans="1:5" ht="24.75">
      <c r="A51" s="977"/>
      <c r="B51" s="974" t="s">
        <v>83</v>
      </c>
      <c r="C51" s="975"/>
      <c r="D51" s="1022"/>
      <c r="E51" s="1000"/>
    </row>
    <row r="52" spans="1:5" ht="24.75">
      <c r="A52" s="977"/>
      <c r="B52" s="1023" t="s">
        <v>1097</v>
      </c>
      <c r="C52" s="975" t="s">
        <v>81</v>
      </c>
      <c r="D52" s="979" t="s">
        <v>76</v>
      </c>
      <c r="E52" s="980"/>
    </row>
    <row r="53" spans="1:5" ht="24.75">
      <c r="A53" s="977"/>
      <c r="B53" s="974" t="s">
        <v>82</v>
      </c>
      <c r="C53" s="975"/>
      <c r="D53" s="979"/>
      <c r="E53" s="980"/>
    </row>
    <row r="54" spans="1:5" ht="24.75">
      <c r="A54" s="977"/>
      <c r="B54" s="974" t="s">
        <v>83</v>
      </c>
      <c r="C54" s="975"/>
      <c r="D54" s="1022"/>
      <c r="E54" s="1000"/>
    </row>
    <row r="55" spans="1:5" s="1025" customFormat="1" ht="24.75">
      <c r="A55" s="977"/>
      <c r="B55" s="980" t="s">
        <v>1098</v>
      </c>
      <c r="C55" s="981" t="s">
        <v>986</v>
      </c>
      <c r="D55" s="1024" t="s">
        <v>6</v>
      </c>
      <c r="E55" s="974" t="s">
        <v>84</v>
      </c>
    </row>
    <row r="56" spans="1:5" s="1025" customFormat="1" ht="27" customHeight="1">
      <c r="A56" s="977"/>
      <c r="B56" s="980" t="s">
        <v>85</v>
      </c>
      <c r="C56" s="1026"/>
      <c r="D56" s="1026"/>
      <c r="E56" s="989" t="s">
        <v>86</v>
      </c>
    </row>
    <row r="57" spans="1:5" s="1025" customFormat="1" ht="25.5" customHeight="1">
      <c r="A57" s="977"/>
      <c r="B57" s="980" t="s">
        <v>87</v>
      </c>
      <c r="C57" s="1026"/>
      <c r="D57" s="1026"/>
      <c r="E57" s="980"/>
    </row>
    <row r="58" spans="1:5" s="1025" customFormat="1" ht="24" customHeight="1">
      <c r="A58" s="977"/>
      <c r="B58" s="1027" t="s">
        <v>88</v>
      </c>
      <c r="C58" s="1026"/>
      <c r="D58" s="1026"/>
      <c r="E58" s="980"/>
    </row>
    <row r="59" spans="1:5" ht="32.25" hidden="1" customHeight="1">
      <c r="A59" s="977"/>
      <c r="B59" s="1028" t="s">
        <v>89</v>
      </c>
      <c r="C59" s="1029" t="s">
        <v>90</v>
      </c>
      <c r="D59" s="1030" t="s">
        <v>67</v>
      </c>
      <c r="E59" s="1028" t="s">
        <v>91</v>
      </c>
    </row>
    <row r="60" spans="1:5" ht="24.75">
      <c r="A60" s="977"/>
      <c r="B60" s="1031" t="s">
        <v>1162</v>
      </c>
      <c r="C60" s="989" t="s">
        <v>392</v>
      </c>
      <c r="D60" s="1032" t="s">
        <v>385</v>
      </c>
      <c r="E60" s="995"/>
    </row>
    <row r="61" spans="1:5" ht="24.75">
      <c r="A61" s="977"/>
      <c r="B61" s="1031" t="s">
        <v>1163</v>
      </c>
      <c r="C61" s="989" t="s">
        <v>397</v>
      </c>
      <c r="D61" s="1032" t="s">
        <v>386</v>
      </c>
      <c r="E61" s="995"/>
    </row>
    <row r="62" spans="1:5" ht="24.75">
      <c r="A62" s="977"/>
      <c r="B62" s="1031" t="s">
        <v>396</v>
      </c>
      <c r="C62" s="989"/>
      <c r="D62" s="1032"/>
      <c r="E62" s="995"/>
    </row>
    <row r="63" spans="1:5" ht="24.75">
      <c r="A63" s="973" t="s">
        <v>1099</v>
      </c>
      <c r="B63" s="1033"/>
      <c r="C63" s="981"/>
      <c r="D63" s="1034"/>
      <c r="E63" s="989"/>
    </row>
    <row r="64" spans="1:5" ht="24.75">
      <c r="A64" s="977"/>
      <c r="B64" s="980" t="s">
        <v>1100</v>
      </c>
      <c r="C64" s="989" t="s">
        <v>988</v>
      </c>
      <c r="D64" s="1035" t="s">
        <v>67</v>
      </c>
      <c r="E64" s="1036" t="s">
        <v>398</v>
      </c>
    </row>
    <row r="65" spans="1:5" ht="25.5" customHeight="1">
      <c r="A65" s="977"/>
      <c r="B65" s="980" t="s">
        <v>1101</v>
      </c>
      <c r="C65" s="989" t="s">
        <v>988</v>
      </c>
      <c r="D65" s="1035" t="s">
        <v>386</v>
      </c>
      <c r="E65" s="1037" t="s">
        <v>92</v>
      </c>
    </row>
    <row r="66" spans="1:5" ht="24.75">
      <c r="A66" s="977"/>
      <c r="B66" s="980" t="s">
        <v>1102</v>
      </c>
      <c r="C66" s="989" t="s">
        <v>988</v>
      </c>
      <c r="D66" s="1035" t="s">
        <v>386</v>
      </c>
      <c r="E66" s="1037" t="s">
        <v>93</v>
      </c>
    </row>
    <row r="67" spans="1:5" ht="24.75">
      <c r="A67" s="973" t="s">
        <v>1103</v>
      </c>
      <c r="B67" s="980"/>
      <c r="C67" s="989"/>
      <c r="D67" s="1038"/>
      <c r="E67" s="988"/>
    </row>
    <row r="68" spans="1:5" ht="23.25" customHeight="1">
      <c r="A68" s="977"/>
      <c r="B68" s="974" t="s">
        <v>1104</v>
      </c>
      <c r="C68" s="975" t="s">
        <v>81</v>
      </c>
      <c r="D68" s="979" t="s">
        <v>67</v>
      </c>
      <c r="E68" s="974"/>
    </row>
    <row r="69" spans="1:5" ht="24" customHeight="1">
      <c r="A69" s="977"/>
      <c r="B69" s="1031" t="s">
        <v>1105</v>
      </c>
      <c r="C69" s="989" t="s">
        <v>392</v>
      </c>
      <c r="D69" s="1035" t="s">
        <v>385</v>
      </c>
      <c r="E69" s="1000"/>
    </row>
    <row r="70" spans="1:5" ht="24" customHeight="1">
      <c r="A70" s="977"/>
      <c r="B70" s="1031" t="s">
        <v>1107</v>
      </c>
      <c r="C70" s="989" t="s">
        <v>397</v>
      </c>
      <c r="D70" s="1035" t="s">
        <v>403</v>
      </c>
      <c r="E70" s="1000"/>
    </row>
    <row r="71" spans="1:5" ht="24.75">
      <c r="A71" s="977"/>
      <c r="B71" s="1031" t="s">
        <v>989</v>
      </c>
      <c r="C71" s="1039"/>
      <c r="D71" s="1035"/>
      <c r="E71" s="1040"/>
    </row>
    <row r="72" spans="1:5" ht="49.5" hidden="1">
      <c r="A72" s="977"/>
      <c r="B72" s="1028" t="s">
        <v>94</v>
      </c>
      <c r="C72" s="1041" t="s">
        <v>988</v>
      </c>
      <c r="D72" s="1030" t="s">
        <v>67</v>
      </c>
      <c r="E72" s="1042" t="s">
        <v>95</v>
      </c>
    </row>
    <row r="73" spans="1:5" ht="49.5">
      <c r="A73" s="977"/>
      <c r="B73" s="980" t="s">
        <v>1106</v>
      </c>
      <c r="C73" s="989" t="s">
        <v>990</v>
      </c>
      <c r="D73" s="1043" t="s">
        <v>405</v>
      </c>
      <c r="E73" s="1000" t="s">
        <v>96</v>
      </c>
    </row>
    <row r="74" spans="1:5" ht="24.75">
      <c r="A74" s="977"/>
      <c r="B74" s="980"/>
      <c r="C74" s="989"/>
      <c r="D74" s="1021"/>
      <c r="E74" s="1000" t="s">
        <v>97</v>
      </c>
    </row>
    <row r="75" spans="1:5" ht="24.75" hidden="1">
      <c r="A75" s="977"/>
      <c r="B75" s="980" t="s">
        <v>98</v>
      </c>
      <c r="C75" s="989" t="s">
        <v>99</v>
      </c>
      <c r="D75" s="1035" t="s">
        <v>67</v>
      </c>
      <c r="E75" s="1000" t="s">
        <v>100</v>
      </c>
    </row>
    <row r="76" spans="1:5" ht="24.75" hidden="1">
      <c r="A76" s="977"/>
      <c r="B76" s="980" t="s">
        <v>101</v>
      </c>
      <c r="C76" s="1040"/>
      <c r="D76" s="982"/>
      <c r="E76" s="1000"/>
    </row>
    <row r="77" spans="1:5" ht="24.75">
      <c r="A77" s="973" t="s">
        <v>1108</v>
      </c>
      <c r="B77" s="980"/>
      <c r="C77" s="989"/>
      <c r="D77" s="1038"/>
      <c r="E77" s="988"/>
    </row>
    <row r="78" spans="1:5" ht="24" customHeight="1">
      <c r="A78" s="977"/>
      <c r="B78" s="1031" t="s">
        <v>1109</v>
      </c>
      <c r="C78" s="989" t="s">
        <v>397</v>
      </c>
      <c r="D78" s="1035" t="s">
        <v>403</v>
      </c>
      <c r="E78" s="1000"/>
    </row>
    <row r="79" spans="1:5" ht="24.75">
      <c r="A79" s="977"/>
      <c r="B79" s="1031" t="s">
        <v>989</v>
      </c>
      <c r="C79" s="1039"/>
      <c r="D79" s="1035"/>
      <c r="E79" s="1040"/>
    </row>
    <row r="80" spans="1:5" ht="49.5">
      <c r="A80" s="977"/>
      <c r="B80" s="980" t="s">
        <v>1110</v>
      </c>
      <c r="C80" s="989" t="s">
        <v>990</v>
      </c>
      <c r="D80" s="1043" t="s">
        <v>405</v>
      </c>
      <c r="E80" s="1000" t="s">
        <v>96</v>
      </c>
    </row>
    <row r="81" spans="1:5" ht="29.25" customHeight="1">
      <c r="A81" s="973" t="s">
        <v>1111</v>
      </c>
      <c r="B81" s="1031"/>
      <c r="C81" s="981"/>
      <c r="D81" s="982"/>
      <c r="E81" s="1044"/>
    </row>
    <row r="82" spans="1:5" ht="24.75">
      <c r="A82" s="973"/>
      <c r="B82" s="1045" t="s">
        <v>512</v>
      </c>
      <c r="C82" s="981"/>
      <c r="D82" s="982"/>
      <c r="E82" s="1044"/>
    </row>
    <row r="83" spans="1:5" ht="24.75">
      <c r="A83" s="977"/>
      <c r="B83" s="980" t="s">
        <v>1112</v>
      </c>
      <c r="C83" s="989" t="s">
        <v>80</v>
      </c>
      <c r="D83" s="986" t="s">
        <v>53</v>
      </c>
      <c r="E83" s="980"/>
    </row>
    <row r="84" spans="1:5" ht="24.75">
      <c r="A84" s="977"/>
      <c r="B84" s="980" t="s">
        <v>55</v>
      </c>
      <c r="C84" s="989"/>
      <c r="D84" s="986"/>
      <c r="E84" s="980"/>
    </row>
    <row r="85" spans="1:5" ht="24.75">
      <c r="A85" s="977"/>
      <c r="B85" s="980" t="s">
        <v>1113</v>
      </c>
      <c r="C85" s="989" t="s">
        <v>80</v>
      </c>
      <c r="D85" s="986" t="s">
        <v>57</v>
      </c>
      <c r="E85" s="980"/>
    </row>
    <row r="86" spans="1:5" ht="24.75">
      <c r="A86" s="977"/>
      <c r="B86" s="980" t="s">
        <v>58</v>
      </c>
      <c r="C86" s="989"/>
      <c r="D86" s="986"/>
      <c r="E86" s="980"/>
    </row>
    <row r="87" spans="1:5" ht="23.25" hidden="1" customHeight="1">
      <c r="A87" s="977"/>
      <c r="B87" s="980" t="s">
        <v>383</v>
      </c>
      <c r="C87" s="981" t="s">
        <v>59</v>
      </c>
      <c r="D87" s="982" t="s">
        <v>60</v>
      </c>
      <c r="E87" s="980" t="s">
        <v>61</v>
      </c>
    </row>
    <row r="88" spans="1:5" ht="24.75" hidden="1">
      <c r="A88" s="977"/>
      <c r="B88" s="985" t="s">
        <v>384</v>
      </c>
      <c r="C88" s="981" t="s">
        <v>59</v>
      </c>
      <c r="D88" s="1021" t="s">
        <v>6</v>
      </c>
      <c r="E88" s="981" t="s">
        <v>62</v>
      </c>
    </row>
    <row r="89" spans="1:5" ht="24.75" hidden="1">
      <c r="A89" s="977"/>
      <c r="B89" s="980" t="s">
        <v>63</v>
      </c>
      <c r="C89" s="975"/>
      <c r="D89" s="1038"/>
      <c r="E89" s="985" t="s">
        <v>64</v>
      </c>
    </row>
    <row r="90" spans="1:5" ht="24.75" hidden="1">
      <c r="A90" s="977"/>
      <c r="B90" s="1027" t="s">
        <v>65</v>
      </c>
      <c r="C90" s="903"/>
      <c r="D90" s="903"/>
      <c r="E90" s="1046"/>
    </row>
    <row r="91" spans="1:5" ht="24.75">
      <c r="A91" s="973"/>
      <c r="B91" s="1045" t="s">
        <v>513</v>
      </c>
      <c r="C91" s="981"/>
      <c r="D91" s="1032"/>
      <c r="E91" s="1047"/>
    </row>
    <row r="92" spans="1:5" ht="24.75">
      <c r="A92" s="977"/>
      <c r="B92" s="980" t="s">
        <v>1114</v>
      </c>
      <c r="C92" s="989" t="s">
        <v>80</v>
      </c>
      <c r="D92" s="986" t="s">
        <v>57</v>
      </c>
      <c r="E92" s="980"/>
    </row>
    <row r="93" spans="1:5" ht="24.75">
      <c r="A93" s="977"/>
      <c r="B93" s="980" t="s">
        <v>66</v>
      </c>
      <c r="C93" s="989"/>
      <c r="D93" s="986"/>
      <c r="E93" s="980"/>
    </row>
    <row r="94" spans="1:5" ht="24.75" customHeight="1">
      <c r="A94" s="977"/>
      <c r="B94" s="980" t="s">
        <v>1115</v>
      </c>
      <c r="C94" s="989" t="s">
        <v>80</v>
      </c>
      <c r="D94" s="986" t="s">
        <v>67</v>
      </c>
      <c r="E94" s="980"/>
    </row>
    <row r="95" spans="1:5" ht="24.75">
      <c r="A95" s="977"/>
      <c r="B95" s="980" t="s">
        <v>66</v>
      </c>
      <c r="C95" s="989"/>
      <c r="D95" s="986"/>
      <c r="E95" s="980"/>
    </row>
    <row r="96" spans="1:5" ht="23.25" hidden="1" customHeight="1">
      <c r="A96" s="977"/>
      <c r="B96" s="980" t="s">
        <v>68</v>
      </c>
      <c r="C96" s="981" t="s">
        <v>69</v>
      </c>
      <c r="D96" s="982" t="s">
        <v>10</v>
      </c>
      <c r="E96" s="980" t="s">
        <v>70</v>
      </c>
    </row>
    <row r="97" spans="1:5" ht="24.75" hidden="1" customHeight="1">
      <c r="A97" s="977"/>
      <c r="B97" s="1027" t="s">
        <v>71</v>
      </c>
      <c r="C97" s="981"/>
      <c r="D97" s="982"/>
      <c r="E97" s="980"/>
    </row>
    <row r="98" spans="1:5" ht="24.75" hidden="1" customHeight="1">
      <c r="A98" s="977"/>
      <c r="B98" s="985" t="s">
        <v>72</v>
      </c>
      <c r="C98" s="981" t="s">
        <v>69</v>
      </c>
      <c r="D98" s="1021" t="s">
        <v>6</v>
      </c>
      <c r="E98" s="981" t="s">
        <v>62</v>
      </c>
    </row>
    <row r="99" spans="1:5" ht="24.75" hidden="1">
      <c r="A99" s="977"/>
      <c r="B99" s="980" t="s">
        <v>75</v>
      </c>
      <c r="C99" s="975"/>
      <c r="D99" s="1038"/>
      <c r="E99" s="985" t="s">
        <v>64</v>
      </c>
    </row>
    <row r="100" spans="1:5" ht="24.75" hidden="1">
      <c r="A100" s="977"/>
      <c r="B100" s="1027" t="s">
        <v>71</v>
      </c>
      <c r="C100" s="903"/>
      <c r="D100" s="903"/>
      <c r="E100" s="1046"/>
    </row>
    <row r="101" spans="1:5" ht="20.25" customHeight="1">
      <c r="A101" s="977"/>
      <c r="B101" s="1048" t="s">
        <v>1091</v>
      </c>
      <c r="C101" s="975"/>
      <c r="D101" s="1021"/>
      <c r="E101" s="981"/>
    </row>
    <row r="102" spans="1:5" ht="24.75">
      <c r="A102" s="977"/>
      <c r="B102" s="980" t="s">
        <v>1116</v>
      </c>
      <c r="C102" s="989" t="s">
        <v>80</v>
      </c>
      <c r="D102" s="986" t="s">
        <v>14</v>
      </c>
      <c r="E102" s="980"/>
    </row>
    <row r="103" spans="1:5" ht="24.75">
      <c r="A103" s="977"/>
      <c r="B103" s="980" t="s">
        <v>66</v>
      </c>
      <c r="C103" s="989"/>
      <c r="D103" s="986"/>
      <c r="E103" s="980"/>
    </row>
    <row r="104" spans="1:5" ht="24.75" customHeight="1">
      <c r="A104" s="977"/>
      <c r="B104" s="980" t="s">
        <v>1117</v>
      </c>
      <c r="C104" s="989" t="s">
        <v>80</v>
      </c>
      <c r="D104" s="986" t="s">
        <v>76</v>
      </c>
      <c r="E104" s="980"/>
    </row>
    <row r="105" spans="1:5" ht="24.75">
      <c r="A105" s="977"/>
      <c r="B105" s="980" t="s">
        <v>66</v>
      </c>
      <c r="C105" s="989"/>
      <c r="D105" s="986"/>
      <c r="E105" s="980"/>
    </row>
    <row r="106" spans="1:5" ht="74.25" hidden="1">
      <c r="A106" s="977"/>
      <c r="B106" s="980" t="s">
        <v>77</v>
      </c>
      <c r="C106" s="981" t="s">
        <v>78</v>
      </c>
      <c r="D106" s="982" t="s">
        <v>10</v>
      </c>
      <c r="E106" s="1000" t="s">
        <v>79</v>
      </c>
    </row>
    <row r="107" spans="1:5" ht="24.75" hidden="1">
      <c r="A107" s="977"/>
      <c r="B107" s="980"/>
      <c r="C107" s="981"/>
      <c r="D107" s="982"/>
      <c r="E107" s="1000"/>
    </row>
    <row r="108" spans="1:5" ht="24.75">
      <c r="A108" s="977"/>
      <c r="B108" s="1049" t="s">
        <v>515</v>
      </c>
      <c r="C108" s="981"/>
      <c r="D108" s="982"/>
      <c r="E108" s="989"/>
    </row>
    <row r="109" spans="1:5" ht="74.25">
      <c r="A109" s="977"/>
      <c r="B109" s="1050" t="s">
        <v>1118</v>
      </c>
      <c r="C109" s="989" t="s">
        <v>80</v>
      </c>
      <c r="D109" s="982" t="s">
        <v>6</v>
      </c>
      <c r="E109" s="989" t="s">
        <v>1030</v>
      </c>
    </row>
    <row r="110" spans="1:5" ht="24.75" hidden="1">
      <c r="A110" s="977"/>
      <c r="B110" s="985"/>
      <c r="C110" s="989"/>
      <c r="D110" s="1021"/>
      <c r="E110" s="989"/>
    </row>
    <row r="111" spans="1:5" ht="27" hidden="1" customHeight="1">
      <c r="A111" s="973" t="s">
        <v>985</v>
      </c>
      <c r="B111" s="985"/>
      <c r="C111" s="989"/>
      <c r="D111" s="1021"/>
      <c r="E111" s="903"/>
    </row>
    <row r="112" spans="1:5" ht="24.75" hidden="1">
      <c r="A112" s="977"/>
      <c r="B112" s="974" t="s">
        <v>387</v>
      </c>
      <c r="C112" s="975" t="s">
        <v>81</v>
      </c>
      <c r="D112" s="979" t="s">
        <v>14</v>
      </c>
      <c r="E112" s="980" t="s">
        <v>54</v>
      </c>
    </row>
    <row r="113" spans="1:5" ht="24.75" hidden="1">
      <c r="A113" s="977"/>
      <c r="B113" s="974" t="s">
        <v>82</v>
      </c>
      <c r="C113" s="975"/>
      <c r="D113" s="979" t="s">
        <v>67</v>
      </c>
      <c r="E113" s="980" t="s">
        <v>56</v>
      </c>
    </row>
    <row r="114" spans="1:5" ht="24.75" hidden="1">
      <c r="A114" s="977"/>
      <c r="B114" s="974" t="s">
        <v>83</v>
      </c>
      <c r="C114" s="975"/>
      <c r="D114" s="1022"/>
      <c r="E114" s="1000"/>
    </row>
    <row r="115" spans="1:5" ht="24.75" hidden="1">
      <c r="A115" s="977"/>
      <c r="B115" s="1023" t="s">
        <v>393</v>
      </c>
      <c r="C115" s="975" t="s">
        <v>81</v>
      </c>
      <c r="D115" s="979" t="s">
        <v>76</v>
      </c>
      <c r="E115" s="980" t="s">
        <v>54</v>
      </c>
    </row>
    <row r="116" spans="1:5" ht="24.75" hidden="1">
      <c r="A116" s="977"/>
      <c r="B116" s="974" t="s">
        <v>82</v>
      </c>
      <c r="C116" s="975"/>
      <c r="D116" s="979" t="s">
        <v>385</v>
      </c>
      <c r="E116" s="980" t="s">
        <v>56</v>
      </c>
    </row>
    <row r="117" spans="1:5" ht="24.75" hidden="1">
      <c r="A117" s="977"/>
      <c r="B117" s="974" t="s">
        <v>83</v>
      </c>
      <c r="C117" s="975"/>
      <c r="D117" s="1022"/>
      <c r="E117" s="1000"/>
    </row>
    <row r="118" spans="1:5" ht="30.75" hidden="1" customHeight="1">
      <c r="A118" s="977"/>
      <c r="B118" s="985"/>
      <c r="C118" s="975"/>
      <c r="D118" s="1022"/>
      <c r="E118" s="1000"/>
    </row>
    <row r="119" spans="1:5" s="1025" customFormat="1" ht="24.75" hidden="1">
      <c r="A119" s="977"/>
      <c r="B119" s="980" t="s">
        <v>983</v>
      </c>
      <c r="C119" s="981" t="s">
        <v>986</v>
      </c>
      <c r="D119" s="1024" t="s">
        <v>6</v>
      </c>
      <c r="E119" s="974" t="s">
        <v>84</v>
      </c>
    </row>
    <row r="120" spans="1:5" s="1025" customFormat="1" ht="27" hidden="1" customHeight="1">
      <c r="A120" s="977"/>
      <c r="B120" s="980" t="s">
        <v>85</v>
      </c>
      <c r="C120" s="1026"/>
      <c r="D120" s="1026"/>
      <c r="E120" s="989" t="s">
        <v>86</v>
      </c>
    </row>
    <row r="121" spans="1:5" s="1025" customFormat="1" ht="25.5" hidden="1" customHeight="1">
      <c r="A121" s="977"/>
      <c r="B121" s="980" t="s">
        <v>87</v>
      </c>
      <c r="C121" s="1026"/>
      <c r="D121" s="1026"/>
      <c r="E121" s="980"/>
    </row>
    <row r="122" spans="1:5" s="1025" customFormat="1" ht="24" hidden="1" customHeight="1">
      <c r="A122" s="977"/>
      <c r="B122" s="1027" t="s">
        <v>88</v>
      </c>
      <c r="C122" s="1026"/>
      <c r="D122" s="1026"/>
      <c r="E122" s="980"/>
    </row>
    <row r="123" spans="1:5" ht="32.25" hidden="1" customHeight="1">
      <c r="A123" s="977"/>
      <c r="B123" s="1028" t="s">
        <v>89</v>
      </c>
      <c r="C123" s="1029" t="s">
        <v>90</v>
      </c>
      <c r="D123" s="1030" t="s">
        <v>67</v>
      </c>
      <c r="E123" s="1028" t="s">
        <v>91</v>
      </c>
    </row>
    <row r="124" spans="1:5" ht="24.75" hidden="1">
      <c r="A124" s="977"/>
      <c r="B124" s="1031" t="s">
        <v>394</v>
      </c>
      <c r="C124" s="989" t="s">
        <v>392</v>
      </c>
      <c r="D124" s="1032" t="s">
        <v>385</v>
      </c>
      <c r="E124" s="995"/>
    </row>
    <row r="125" spans="1:5" ht="24.75" hidden="1">
      <c r="A125" s="977"/>
      <c r="B125" s="1031" t="s">
        <v>395</v>
      </c>
      <c r="C125" s="989" t="s">
        <v>397</v>
      </c>
      <c r="D125" s="1032" t="s">
        <v>386</v>
      </c>
      <c r="E125" s="995"/>
    </row>
    <row r="126" spans="1:5" ht="24.75" hidden="1">
      <c r="A126" s="977"/>
      <c r="B126" s="1031" t="s">
        <v>396</v>
      </c>
      <c r="C126" s="989"/>
      <c r="D126" s="1032"/>
      <c r="E126" s="995"/>
    </row>
    <row r="127" spans="1:5" ht="24.75" hidden="1">
      <c r="A127" s="973" t="s">
        <v>388</v>
      </c>
      <c r="B127" s="1033"/>
      <c r="C127" s="981"/>
      <c r="D127" s="1034"/>
      <c r="E127" s="989"/>
    </row>
    <row r="128" spans="1:5" ht="24.75" hidden="1">
      <c r="A128" s="977"/>
      <c r="B128" s="980" t="s">
        <v>987</v>
      </c>
      <c r="C128" s="989" t="s">
        <v>988</v>
      </c>
      <c r="D128" s="1035" t="s">
        <v>67</v>
      </c>
      <c r="E128" s="1036" t="s">
        <v>398</v>
      </c>
    </row>
    <row r="129" spans="1:5" ht="25.5" hidden="1" customHeight="1">
      <c r="A129" s="977"/>
      <c r="B129" s="980" t="s">
        <v>389</v>
      </c>
      <c r="C129" s="989" t="s">
        <v>988</v>
      </c>
      <c r="D129" s="1035" t="s">
        <v>386</v>
      </c>
      <c r="E129" s="1037" t="s">
        <v>92</v>
      </c>
    </row>
    <row r="130" spans="1:5" ht="24.75" hidden="1">
      <c r="A130" s="977"/>
      <c r="B130" s="980" t="s">
        <v>390</v>
      </c>
      <c r="C130" s="989" t="s">
        <v>988</v>
      </c>
      <c r="D130" s="1035" t="s">
        <v>386</v>
      </c>
      <c r="E130" s="1037" t="s">
        <v>93</v>
      </c>
    </row>
    <row r="131" spans="1:5" ht="24.75" hidden="1">
      <c r="A131" s="973" t="s">
        <v>399</v>
      </c>
      <c r="B131" s="980"/>
      <c r="C131" s="989"/>
      <c r="D131" s="1038"/>
      <c r="E131" s="988"/>
    </row>
    <row r="132" spans="1:5" ht="23.25" hidden="1" customHeight="1">
      <c r="A132" s="977"/>
      <c r="B132" s="974" t="s">
        <v>391</v>
      </c>
      <c r="C132" s="975" t="s">
        <v>81</v>
      </c>
      <c r="D132" s="979" t="s">
        <v>67</v>
      </c>
      <c r="E132" s="974"/>
    </row>
    <row r="133" spans="1:5" ht="24" hidden="1" customHeight="1">
      <c r="A133" s="977"/>
      <c r="B133" s="1031" t="s">
        <v>400</v>
      </c>
      <c r="C133" s="989" t="s">
        <v>392</v>
      </c>
      <c r="D133" s="1035" t="s">
        <v>385</v>
      </c>
      <c r="E133" s="1000"/>
    </row>
    <row r="134" spans="1:5" ht="24" hidden="1" customHeight="1">
      <c r="A134" s="977"/>
      <c r="B134" s="1031" t="s">
        <v>402</v>
      </c>
      <c r="C134" s="989" t="s">
        <v>397</v>
      </c>
      <c r="D134" s="1035" t="s">
        <v>403</v>
      </c>
      <c r="E134" s="1000"/>
    </row>
    <row r="135" spans="1:5" ht="24.75" hidden="1">
      <c r="A135" s="977"/>
      <c r="B135" s="1031" t="s">
        <v>989</v>
      </c>
      <c r="C135" s="1039"/>
      <c r="D135" s="1035"/>
      <c r="E135" s="1040"/>
    </row>
    <row r="136" spans="1:5" ht="49.5" hidden="1">
      <c r="A136" s="977"/>
      <c r="B136" s="1028" t="s">
        <v>94</v>
      </c>
      <c r="C136" s="1041" t="s">
        <v>988</v>
      </c>
      <c r="D136" s="1030" t="s">
        <v>67</v>
      </c>
      <c r="E136" s="1042" t="s">
        <v>95</v>
      </c>
    </row>
    <row r="137" spans="1:5" ht="49.5" hidden="1">
      <c r="A137" s="977"/>
      <c r="B137" s="980" t="s">
        <v>404</v>
      </c>
      <c r="C137" s="989" t="s">
        <v>990</v>
      </c>
      <c r="D137" s="1043" t="s">
        <v>405</v>
      </c>
      <c r="E137" s="1000" t="s">
        <v>96</v>
      </c>
    </row>
    <row r="138" spans="1:5" ht="24.75" hidden="1">
      <c r="A138" s="977"/>
      <c r="B138" s="980"/>
      <c r="C138" s="989"/>
      <c r="D138" s="1021"/>
      <c r="E138" s="1000" t="s">
        <v>97</v>
      </c>
    </row>
    <row r="139" spans="1:5" ht="24.75" hidden="1">
      <c r="A139" s="977"/>
      <c r="B139" s="980" t="s">
        <v>98</v>
      </c>
      <c r="C139" s="989" t="s">
        <v>99</v>
      </c>
      <c r="D139" s="1035" t="s">
        <v>67</v>
      </c>
      <c r="E139" s="1000" t="s">
        <v>100</v>
      </c>
    </row>
    <row r="140" spans="1:5" ht="24.75" hidden="1">
      <c r="A140" s="977"/>
      <c r="B140" s="980" t="s">
        <v>101</v>
      </c>
      <c r="C140" s="1040"/>
      <c r="D140" s="982"/>
      <c r="E140" s="1000"/>
    </row>
    <row r="141" spans="1:5" ht="24.75" hidden="1">
      <c r="A141" s="973" t="s">
        <v>406</v>
      </c>
      <c r="B141" s="980"/>
      <c r="C141" s="989"/>
      <c r="D141" s="1038"/>
      <c r="E141" s="988"/>
    </row>
    <row r="142" spans="1:5" ht="24" hidden="1" customHeight="1">
      <c r="A142" s="977"/>
      <c r="B142" s="1031" t="s">
        <v>407</v>
      </c>
      <c r="C142" s="989" t="s">
        <v>397</v>
      </c>
      <c r="D142" s="1035" t="s">
        <v>403</v>
      </c>
      <c r="E142" s="1000"/>
    </row>
    <row r="143" spans="1:5" ht="24.75" hidden="1">
      <c r="A143" s="977"/>
      <c r="B143" s="1031" t="s">
        <v>989</v>
      </c>
      <c r="C143" s="1039"/>
      <c r="D143" s="1035"/>
      <c r="E143" s="1040"/>
    </row>
    <row r="144" spans="1:5" ht="49.5" hidden="1">
      <c r="A144" s="977"/>
      <c r="B144" s="980" t="s">
        <v>408</v>
      </c>
      <c r="C144" s="989" t="s">
        <v>990</v>
      </c>
      <c r="D144" s="1043" t="s">
        <v>405</v>
      </c>
      <c r="E144" s="1000" t="s">
        <v>96</v>
      </c>
    </row>
    <row r="145" spans="1:24" ht="24.75">
      <c r="A145" s="1051" t="s">
        <v>1132</v>
      </c>
      <c r="B145" s="1052"/>
      <c r="C145" s="1053"/>
      <c r="D145" s="1054"/>
      <c r="E145" s="983"/>
    </row>
    <row r="146" spans="1:24" s="896" customFormat="1" ht="24.75">
      <c r="A146" s="973"/>
      <c r="B146" s="1055"/>
      <c r="C146" s="981" t="s">
        <v>141</v>
      </c>
      <c r="D146" s="976" t="s">
        <v>145</v>
      </c>
      <c r="E146" s="918" t="s">
        <v>409</v>
      </c>
      <c r="F146" s="949"/>
      <c r="G146" s="949"/>
      <c r="H146" s="949"/>
      <c r="I146" s="949"/>
      <c r="J146" s="949"/>
      <c r="K146" s="949"/>
      <c r="L146" s="949"/>
      <c r="M146" s="949"/>
      <c r="N146" s="949"/>
      <c r="O146" s="949"/>
      <c r="P146" s="949"/>
      <c r="Q146" s="949"/>
      <c r="R146" s="949"/>
      <c r="S146" s="949"/>
      <c r="T146" s="949"/>
      <c r="U146" s="949"/>
      <c r="V146" s="949"/>
      <c r="W146" s="949"/>
      <c r="X146" s="949"/>
    </row>
    <row r="147" spans="1:24" ht="24.75">
      <c r="A147" s="1051" t="s">
        <v>1128</v>
      </c>
      <c r="B147" s="1056"/>
      <c r="C147" s="1053"/>
      <c r="D147" s="1054"/>
      <c r="E147" s="983"/>
    </row>
    <row r="148" spans="1:24" ht="24.75">
      <c r="A148" s="977"/>
      <c r="B148" s="980" t="s">
        <v>1129</v>
      </c>
      <c r="C148" s="989" t="s">
        <v>106</v>
      </c>
      <c r="D148" s="1032" t="s">
        <v>107</v>
      </c>
      <c r="E148" s="1044" t="s">
        <v>410</v>
      </c>
    </row>
    <row r="149" spans="1:24" ht="24.75">
      <c r="A149" s="977"/>
      <c r="B149" s="980" t="s">
        <v>412</v>
      </c>
      <c r="C149" s="989"/>
      <c r="D149" s="1032"/>
      <c r="E149" s="1044" t="s">
        <v>411</v>
      </c>
    </row>
    <row r="150" spans="1:24" ht="24.75">
      <c r="A150" s="977"/>
      <c r="B150" s="980" t="s">
        <v>413</v>
      </c>
      <c r="C150" s="989"/>
      <c r="D150" s="1032"/>
      <c r="E150" s="1044"/>
    </row>
    <row r="151" spans="1:24" s="896" customFormat="1" ht="24.75">
      <c r="A151" s="977"/>
      <c r="B151" s="980" t="s">
        <v>1130</v>
      </c>
      <c r="C151" s="981" t="s">
        <v>102</v>
      </c>
      <c r="D151" s="1057" t="s">
        <v>103</v>
      </c>
      <c r="E151" s="1036" t="s">
        <v>1031</v>
      </c>
    </row>
    <row r="152" spans="1:24" s="896" customFormat="1" ht="24.75" customHeight="1">
      <c r="A152" s="977"/>
      <c r="B152" s="980" t="s">
        <v>104</v>
      </c>
      <c r="C152" s="981"/>
      <c r="D152" s="1057" t="s">
        <v>105</v>
      </c>
      <c r="E152" s="1050" t="s">
        <v>1032</v>
      </c>
    </row>
    <row r="153" spans="1:24" ht="24.75" customHeight="1">
      <c r="A153" s="977"/>
      <c r="B153" s="980" t="s">
        <v>1232</v>
      </c>
      <c r="C153" s="1124" t="s">
        <v>1233</v>
      </c>
      <c r="D153" s="1175">
        <v>50</v>
      </c>
      <c r="E153" s="1000" t="s">
        <v>228</v>
      </c>
    </row>
    <row r="154" spans="1:24" ht="24.75" customHeight="1">
      <c r="A154" s="977"/>
      <c r="B154" s="980" t="s">
        <v>1234</v>
      </c>
      <c r="C154" s="1124" t="s">
        <v>1235</v>
      </c>
      <c r="D154" s="1175" t="s">
        <v>414</v>
      </c>
      <c r="E154" s="1176"/>
    </row>
    <row r="155" spans="1:24" ht="24.75" customHeight="1">
      <c r="A155" s="977"/>
      <c r="B155" s="980" t="s">
        <v>1236</v>
      </c>
      <c r="C155" s="1177"/>
      <c r="D155" s="1175"/>
      <c r="E155" s="1176"/>
    </row>
    <row r="156" spans="1:24" ht="22.5" customHeight="1">
      <c r="A156" s="977"/>
      <c r="B156" s="980" t="s">
        <v>1131</v>
      </c>
      <c r="C156" s="1031" t="s">
        <v>108</v>
      </c>
      <c r="D156" s="1057" t="s">
        <v>109</v>
      </c>
      <c r="E156" s="1058"/>
    </row>
    <row r="157" spans="1:24" ht="24.75">
      <c r="A157" s="1059"/>
      <c r="B157" s="1060" t="s">
        <v>110</v>
      </c>
      <c r="C157" s="1061"/>
      <c r="D157" s="1062" t="s">
        <v>111</v>
      </c>
      <c r="E157" s="1063"/>
    </row>
  </sheetData>
  <mergeCells count="2">
    <mergeCell ref="A1:E1"/>
    <mergeCell ref="C4:D4"/>
  </mergeCells>
  <phoneticPr fontId="109" type="noConversion"/>
  <pageMargins left="0.19685039370078741" right="0.19685039370078741" top="0.43307086614173229" bottom="0.39370078740157483" header="0.35433070866141736" footer="0.19685039370078741"/>
  <pageSetup paperSize="9" scale="84" orientation="portrait" r:id="rId1"/>
  <headerFooter alignWithMargins="0">
    <oddFooter>&amp;C&amp;12ภาระงานสอน&amp;Rหน้า&amp;P</oddFooter>
  </headerFooter>
  <rowBreaks count="1" manualBreakCount="1">
    <brk id="8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7030A0"/>
  </sheetPr>
  <dimension ref="A1:X210"/>
  <sheetViews>
    <sheetView showGridLines="0" workbookViewId="0">
      <selection activeCell="E10" sqref="E10:E11"/>
    </sheetView>
  </sheetViews>
  <sheetFormatPr defaultRowHeight="22.5"/>
  <cols>
    <col min="1" max="1" width="2.28515625" style="1116" customWidth="1"/>
    <col min="2" max="2" width="30.140625" style="896" customWidth="1"/>
    <col min="3" max="3" width="25.42578125" style="896" customWidth="1"/>
    <col min="4" max="4" width="26.140625" style="896" customWidth="1"/>
    <col min="5" max="5" width="34.42578125" style="896" customWidth="1"/>
    <col min="6" max="6" width="12.42578125" style="896" customWidth="1"/>
    <col min="7" max="9" width="12.28515625" style="896" customWidth="1"/>
    <col min="10" max="15" width="5.5703125" style="896" customWidth="1"/>
    <col min="16" max="16" width="21" style="896" customWidth="1"/>
    <col min="17" max="17" width="21" style="896" hidden="1" customWidth="1"/>
    <col min="18" max="18" width="19.7109375" style="896" customWidth="1"/>
    <col min="19" max="19" width="23.42578125" style="896" customWidth="1"/>
    <col min="20" max="20" width="12.7109375" style="896" hidden="1" customWidth="1"/>
    <col min="21" max="21" width="19" style="896" customWidth="1"/>
    <col min="22" max="22" width="11.7109375" style="896" customWidth="1"/>
    <col min="23" max="23" width="17" style="896" customWidth="1"/>
    <col min="24" max="16384" width="9.140625" style="896"/>
  </cols>
  <sheetData>
    <row r="1" spans="1:24" ht="26.25" customHeight="1">
      <c r="A1" s="1423" t="s">
        <v>992</v>
      </c>
      <c r="B1" s="1423"/>
      <c r="C1" s="1423"/>
      <c r="D1" s="1423"/>
      <c r="E1" s="1423"/>
      <c r="P1" s="949"/>
      <c r="Q1" s="949"/>
      <c r="R1" s="949"/>
      <c r="S1" s="949"/>
      <c r="T1" s="949"/>
      <c r="U1" s="949"/>
      <c r="V1" s="949"/>
      <c r="W1" s="949"/>
    </row>
    <row r="2" spans="1:24" ht="9" customHeight="1">
      <c r="A2" s="1064"/>
      <c r="P2" s="1065" t="s">
        <v>112</v>
      </c>
      <c r="Q2" s="949"/>
      <c r="R2" s="949"/>
      <c r="S2" s="949"/>
      <c r="T2" s="949"/>
      <c r="U2" s="949"/>
      <c r="V2" s="949"/>
      <c r="W2" s="949"/>
    </row>
    <row r="3" spans="1:24" ht="24.75">
      <c r="A3" s="960"/>
      <c r="B3" s="961" t="s">
        <v>1338</v>
      </c>
      <c r="C3" s="1066" t="s">
        <v>113</v>
      </c>
      <c r="D3" s="963"/>
      <c r="E3" s="1067" t="s">
        <v>474</v>
      </c>
      <c r="F3" s="949"/>
      <c r="G3" s="949"/>
      <c r="H3" s="949"/>
      <c r="I3" s="949"/>
      <c r="J3" s="949"/>
      <c r="K3" s="949"/>
      <c r="L3" s="949"/>
      <c r="M3" s="949"/>
      <c r="N3" s="949"/>
      <c r="O3" s="949"/>
      <c r="P3" s="1068"/>
      <c r="Q3" s="1069"/>
      <c r="R3" s="1069" t="s">
        <v>114</v>
      </c>
      <c r="S3" s="1069"/>
      <c r="T3" s="1069"/>
      <c r="U3" s="1070"/>
      <c r="V3" s="1068" t="s">
        <v>115</v>
      </c>
      <c r="W3" s="1070"/>
      <c r="X3" s="949"/>
    </row>
    <row r="4" spans="1:24" ht="24.75">
      <c r="A4" s="965"/>
      <c r="B4" s="966"/>
      <c r="C4" s="967" t="s">
        <v>1044</v>
      </c>
      <c r="D4" s="963" t="s">
        <v>0</v>
      </c>
      <c r="E4" s="968"/>
      <c r="F4" s="949"/>
      <c r="G4" s="949"/>
      <c r="H4" s="949"/>
      <c r="I4" s="949"/>
      <c r="J4" s="949"/>
      <c r="K4" s="949"/>
      <c r="L4" s="949"/>
      <c r="M4" s="949"/>
      <c r="N4" s="949"/>
      <c r="O4" s="949"/>
      <c r="P4" s="901" t="s">
        <v>116</v>
      </c>
      <c r="Q4" s="1071" t="s">
        <v>117</v>
      </c>
      <c r="R4" s="1072" t="s">
        <v>118</v>
      </c>
      <c r="S4" s="901" t="s">
        <v>119</v>
      </c>
      <c r="T4" s="1071" t="s">
        <v>117</v>
      </c>
      <c r="U4" s="1072" t="s">
        <v>118</v>
      </c>
      <c r="V4" s="1073" t="s">
        <v>120</v>
      </c>
      <c r="W4" s="1074" t="s">
        <v>121</v>
      </c>
      <c r="X4" s="949"/>
    </row>
    <row r="5" spans="1:24" ht="27.75">
      <c r="A5" s="1075" t="s">
        <v>122</v>
      </c>
      <c r="B5" s="1076"/>
      <c r="C5" s="971"/>
      <c r="D5" s="1077"/>
      <c r="E5" s="1078"/>
      <c r="F5" s="949"/>
      <c r="G5" s="949"/>
      <c r="H5" s="949"/>
      <c r="I5" s="949"/>
      <c r="J5" s="949"/>
      <c r="K5" s="949"/>
      <c r="L5" s="949"/>
      <c r="M5" s="949"/>
      <c r="N5" s="949"/>
      <c r="O5" s="949"/>
      <c r="P5" s="1079" t="s">
        <v>870</v>
      </c>
      <c r="Q5" s="949">
        <v>6000</v>
      </c>
      <c r="R5" s="1080">
        <f>1+(TRUNC(Q5/10000,0)*0.02)</f>
        <v>1</v>
      </c>
      <c r="S5" s="1079" t="s">
        <v>869</v>
      </c>
      <c r="T5" s="949">
        <v>4900</v>
      </c>
      <c r="U5" s="1080">
        <f>1+(TRUNC(T5/5000,0)*0.02)</f>
        <v>1</v>
      </c>
      <c r="V5" s="919">
        <v>1</v>
      </c>
      <c r="W5" s="1081">
        <f>1+V5</f>
        <v>2</v>
      </c>
      <c r="X5" s="949"/>
    </row>
    <row r="6" spans="1:24" ht="24.75">
      <c r="A6" s="973" t="s">
        <v>123</v>
      </c>
      <c r="B6" s="975"/>
      <c r="C6" s="975"/>
      <c r="D6" s="1082"/>
      <c r="E6" s="903"/>
      <c r="P6" s="1083" t="s">
        <v>868</v>
      </c>
      <c r="Q6" s="949">
        <v>19000</v>
      </c>
      <c r="R6" s="1080">
        <f>1+(TRUNC(Q6/10000,0)*0.02)</f>
        <v>1.02</v>
      </c>
      <c r="S6" s="1083" t="s">
        <v>867</v>
      </c>
      <c r="T6" s="949">
        <v>5000</v>
      </c>
      <c r="U6" s="1080">
        <f>1+(TRUNC(T6/5000,0)*0.02)</f>
        <v>1.02</v>
      </c>
      <c r="V6" s="919">
        <v>2</v>
      </c>
      <c r="W6" s="1081">
        <f>1+V6</f>
        <v>3</v>
      </c>
    </row>
    <row r="7" spans="1:24" ht="24.75">
      <c r="A7" s="1084"/>
      <c r="B7" s="1178" t="s">
        <v>1252</v>
      </c>
      <c r="C7" s="989"/>
      <c r="D7" s="1034"/>
      <c r="E7" s="903"/>
      <c r="P7" s="1083" t="s">
        <v>866</v>
      </c>
      <c r="Q7" s="949">
        <v>25000</v>
      </c>
      <c r="R7" s="1080">
        <f>1+(TRUNC(Q7/10000,0)*0.02)</f>
        <v>1.04</v>
      </c>
      <c r="S7" s="1083" t="s">
        <v>865</v>
      </c>
      <c r="T7" s="949">
        <v>14000</v>
      </c>
      <c r="U7" s="1080">
        <f>1+(TRUNC(T7/5000,0)*0.02)</f>
        <v>1.04</v>
      </c>
      <c r="V7" s="919">
        <v>3</v>
      </c>
      <c r="W7" s="1081">
        <f>1+V7</f>
        <v>4</v>
      </c>
      <c r="X7" s="949"/>
    </row>
    <row r="8" spans="1:24" ht="26.25" customHeight="1">
      <c r="A8" s="1084"/>
      <c r="B8" s="1031" t="s">
        <v>124</v>
      </c>
      <c r="C8" s="989" t="s">
        <v>125</v>
      </c>
      <c r="D8" s="1429" t="s">
        <v>126</v>
      </c>
      <c r="E8" s="1430" t="s">
        <v>127</v>
      </c>
      <c r="P8" s="1083" t="s">
        <v>864</v>
      </c>
      <c r="Q8" s="949">
        <v>39000</v>
      </c>
      <c r="R8" s="1080">
        <f>1+(TRUNC(Q8/10000,0)*0.02)</f>
        <v>1.06</v>
      </c>
      <c r="S8" s="1083" t="s">
        <v>863</v>
      </c>
      <c r="T8" s="949">
        <v>15000</v>
      </c>
      <c r="U8" s="1080">
        <f>1+(TRUNC(T8/5000,0)*0.02)</f>
        <v>1.06</v>
      </c>
      <c r="V8" s="919">
        <v>4</v>
      </c>
      <c r="W8" s="1081">
        <f>1+V8</f>
        <v>5</v>
      </c>
      <c r="X8" s="949"/>
    </row>
    <row r="9" spans="1:24" ht="25.5" customHeight="1">
      <c r="A9" s="1084"/>
      <c r="B9" s="1031" t="s">
        <v>1092</v>
      </c>
      <c r="C9" s="989" t="s">
        <v>128</v>
      </c>
      <c r="D9" s="1429"/>
      <c r="E9" s="1430"/>
      <c r="P9" s="1083" t="s">
        <v>862</v>
      </c>
      <c r="Q9" s="949">
        <v>40050</v>
      </c>
      <c r="R9" s="1080">
        <f>1+(TRUNC(Q9/10000,0)*0.02)</f>
        <v>1.08</v>
      </c>
      <c r="S9" s="1083" t="s">
        <v>861</v>
      </c>
      <c r="T9" s="949">
        <v>23000</v>
      </c>
      <c r="U9" s="1080">
        <f>1+(TRUNC(T9/5000,0)*0.02)</f>
        <v>1.08</v>
      </c>
      <c r="V9" s="919">
        <v>5</v>
      </c>
      <c r="W9" s="1081">
        <f>1+V9</f>
        <v>6</v>
      </c>
      <c r="X9" s="949"/>
    </row>
    <row r="10" spans="1:24" ht="27" customHeight="1">
      <c r="A10" s="1084"/>
      <c r="B10" s="1031" t="s">
        <v>131</v>
      </c>
      <c r="C10" s="989" t="s">
        <v>132</v>
      </c>
      <c r="D10" s="1429" t="s">
        <v>126</v>
      </c>
      <c r="E10" s="1430" t="s">
        <v>127</v>
      </c>
      <c r="P10" s="1079" t="s">
        <v>129</v>
      </c>
      <c r="Q10" s="949"/>
      <c r="R10" s="1080"/>
      <c r="S10" s="1079" t="s">
        <v>130</v>
      </c>
      <c r="T10" s="949"/>
      <c r="U10" s="1080"/>
      <c r="V10" s="919"/>
      <c r="W10" s="1081"/>
      <c r="X10" s="949"/>
    </row>
    <row r="11" spans="1:24" ht="26.25" customHeight="1">
      <c r="A11" s="1084"/>
      <c r="B11" s="1031" t="s">
        <v>1093</v>
      </c>
      <c r="C11" s="989" t="s">
        <v>133</v>
      </c>
      <c r="D11" s="1429"/>
      <c r="E11" s="1430"/>
      <c r="P11" s="1079"/>
      <c r="Q11" s="949"/>
      <c r="R11" s="1085"/>
      <c r="S11" s="1079"/>
      <c r="T11" s="949"/>
      <c r="U11" s="1085"/>
      <c r="V11" s="919"/>
      <c r="W11" s="1081"/>
      <c r="X11" s="949"/>
    </row>
    <row r="12" spans="1:24" ht="24.75">
      <c r="A12" s="1084"/>
      <c r="B12" s="1055" t="s">
        <v>134</v>
      </c>
      <c r="C12" s="989"/>
      <c r="D12" s="1086"/>
      <c r="E12" s="903"/>
      <c r="F12" s="949"/>
      <c r="G12" s="949"/>
      <c r="H12" s="949"/>
      <c r="I12" s="949"/>
      <c r="J12" s="949"/>
      <c r="K12" s="949"/>
      <c r="L12" s="949"/>
      <c r="M12" s="949"/>
      <c r="N12" s="949"/>
      <c r="O12" s="949"/>
      <c r="P12" s="949" t="s">
        <v>135</v>
      </c>
      <c r="Q12" s="949"/>
      <c r="R12" s="949"/>
      <c r="S12" s="949"/>
      <c r="T12" s="949"/>
      <c r="U12" s="949"/>
      <c r="V12" s="949"/>
      <c r="W12" s="949"/>
      <c r="X12" s="949"/>
    </row>
    <row r="13" spans="1:24" ht="30" customHeight="1">
      <c r="A13" s="973"/>
      <c r="B13" s="974" t="s">
        <v>1094</v>
      </c>
      <c r="C13" s="996" t="s">
        <v>136</v>
      </c>
      <c r="D13" s="1022" t="s">
        <v>137</v>
      </c>
      <c r="E13" s="903" t="s">
        <v>138</v>
      </c>
      <c r="F13" s="949"/>
      <c r="G13" s="949"/>
      <c r="H13" s="949"/>
      <c r="I13" s="949"/>
      <c r="J13" s="949"/>
      <c r="K13" s="949"/>
      <c r="L13" s="949"/>
      <c r="M13" s="949"/>
      <c r="N13" s="949"/>
      <c r="O13" s="949"/>
      <c r="P13" s="949" t="s">
        <v>139</v>
      </c>
      <c r="Q13" s="949"/>
      <c r="R13" s="949"/>
      <c r="S13" s="949"/>
      <c r="T13" s="949"/>
      <c r="U13" s="949"/>
      <c r="V13" s="949"/>
      <c r="W13" s="949"/>
      <c r="X13" s="949"/>
    </row>
    <row r="14" spans="1:24" ht="45">
      <c r="A14" s="973"/>
      <c r="B14" s="1055" t="s">
        <v>140</v>
      </c>
      <c r="C14" s="981" t="s">
        <v>141</v>
      </c>
      <c r="D14" s="976" t="s">
        <v>142</v>
      </c>
      <c r="E14" s="918" t="s">
        <v>143</v>
      </c>
      <c r="F14" s="949"/>
      <c r="G14" s="949"/>
      <c r="H14" s="949"/>
      <c r="I14" s="949"/>
      <c r="J14" s="949"/>
      <c r="K14" s="949"/>
      <c r="L14" s="949"/>
      <c r="M14" s="949"/>
      <c r="N14" s="949"/>
      <c r="O14" s="949"/>
      <c r="P14" s="949"/>
      <c r="Q14" s="949"/>
      <c r="R14" s="949"/>
      <c r="S14" s="949"/>
      <c r="T14" s="949"/>
      <c r="U14" s="949" t="s">
        <v>144</v>
      </c>
      <c r="V14" s="949"/>
      <c r="W14" s="949"/>
      <c r="X14" s="949"/>
    </row>
    <row r="15" spans="1:24" ht="24.75">
      <c r="A15" s="1087" t="s">
        <v>148</v>
      </c>
      <c r="B15" s="1088"/>
      <c r="C15" s="975"/>
      <c r="D15" s="1089"/>
      <c r="E15" s="903"/>
      <c r="F15" s="949"/>
      <c r="G15" s="949"/>
      <c r="H15" s="949"/>
      <c r="I15" s="949"/>
      <c r="J15" s="949"/>
      <c r="K15" s="949"/>
      <c r="L15" s="949"/>
      <c r="M15" s="949"/>
      <c r="N15" s="949"/>
      <c r="O15" s="949"/>
      <c r="P15" s="949" t="s">
        <v>146</v>
      </c>
      <c r="Q15" s="949"/>
      <c r="R15" s="949"/>
      <c r="S15" s="949"/>
      <c r="T15" s="949"/>
      <c r="U15" s="949"/>
      <c r="V15" s="949"/>
      <c r="W15" s="949"/>
      <c r="X15" s="949"/>
    </row>
    <row r="16" spans="1:24" ht="24.75">
      <c r="A16" s="1084"/>
      <c r="B16" s="1090" t="s">
        <v>1015</v>
      </c>
      <c r="C16" s="949"/>
      <c r="D16" s="1091"/>
      <c r="E16" s="903"/>
      <c r="F16" s="949"/>
      <c r="G16" s="949"/>
      <c r="H16" s="949"/>
      <c r="I16" s="949"/>
      <c r="J16" s="949"/>
      <c r="K16" s="949"/>
      <c r="L16" s="949"/>
      <c r="M16" s="949"/>
      <c r="N16" s="949"/>
      <c r="O16" s="949"/>
      <c r="P16" s="949"/>
      <c r="Q16" s="949"/>
      <c r="R16" s="949"/>
      <c r="S16" s="949"/>
      <c r="T16" s="949"/>
      <c r="U16" s="949" t="s">
        <v>147</v>
      </c>
      <c r="V16" s="949"/>
      <c r="W16" s="949"/>
      <c r="X16" s="949"/>
    </row>
    <row r="17" spans="1:24" ht="24.75">
      <c r="A17" s="1084"/>
      <c r="B17" s="1092"/>
      <c r="C17" s="1093" t="s">
        <v>150</v>
      </c>
      <c r="D17" s="1091"/>
      <c r="E17" s="903"/>
    </row>
    <row r="18" spans="1:24" ht="24.75">
      <c r="A18" s="1084"/>
      <c r="B18" s="1055" t="s">
        <v>599</v>
      </c>
      <c r="C18" s="1094" t="s">
        <v>151</v>
      </c>
      <c r="D18" s="1095">
        <v>45</v>
      </c>
      <c r="E18" s="918" t="s">
        <v>152</v>
      </c>
    </row>
    <row r="19" spans="1:24" ht="24.75">
      <c r="A19" s="1084"/>
      <c r="B19" s="1033"/>
      <c r="C19" s="975" t="s">
        <v>153</v>
      </c>
      <c r="D19" s="1096"/>
      <c r="E19" s="903"/>
      <c r="F19" s="949"/>
      <c r="G19" s="949"/>
      <c r="H19" s="949"/>
      <c r="I19" s="949"/>
      <c r="J19" s="949"/>
      <c r="K19" s="949"/>
      <c r="L19" s="949"/>
      <c r="M19" s="949"/>
      <c r="N19" s="949"/>
      <c r="O19" s="949"/>
      <c r="P19" s="949"/>
      <c r="Q19" s="949"/>
      <c r="R19" s="949"/>
      <c r="S19" s="949"/>
      <c r="T19" s="949"/>
      <c r="U19" s="949"/>
      <c r="V19" s="949"/>
      <c r="W19" s="949"/>
      <c r="X19" s="949"/>
    </row>
    <row r="20" spans="1:24" ht="24.75">
      <c r="A20" s="1084"/>
      <c r="B20" s="1055" t="s">
        <v>599</v>
      </c>
      <c r="C20" s="1094" t="s">
        <v>151</v>
      </c>
      <c r="D20" s="1095">
        <v>90</v>
      </c>
      <c r="E20" s="918" t="s">
        <v>152</v>
      </c>
      <c r="F20" s="949"/>
      <c r="G20" s="949"/>
      <c r="H20" s="949"/>
      <c r="I20" s="949"/>
      <c r="J20" s="949"/>
      <c r="K20" s="949"/>
      <c r="L20" s="949"/>
      <c r="M20" s="949"/>
      <c r="N20" s="949"/>
      <c r="O20" s="949"/>
      <c r="P20" s="949"/>
      <c r="Q20" s="949"/>
      <c r="R20" s="949"/>
      <c r="S20" s="949"/>
      <c r="T20" s="949"/>
      <c r="U20" s="949"/>
      <c r="V20" s="949"/>
      <c r="W20" s="949"/>
      <c r="X20" s="949"/>
    </row>
    <row r="21" spans="1:24" ht="23.25" customHeight="1">
      <c r="A21" s="1084"/>
      <c r="B21" s="1033"/>
      <c r="C21" s="1097" t="s">
        <v>154</v>
      </c>
      <c r="D21" s="1022"/>
      <c r="E21" s="903"/>
      <c r="F21" s="949"/>
      <c r="G21" s="949"/>
      <c r="H21" s="949"/>
      <c r="I21" s="949"/>
      <c r="J21" s="949"/>
      <c r="K21" s="949"/>
      <c r="L21" s="949"/>
      <c r="M21" s="949"/>
      <c r="N21" s="949"/>
      <c r="O21" s="949"/>
      <c r="P21" s="949"/>
      <c r="Q21" s="949"/>
      <c r="R21" s="949"/>
      <c r="S21" s="949"/>
      <c r="T21" s="949"/>
      <c r="U21" s="949"/>
      <c r="V21" s="949"/>
      <c r="W21" s="949"/>
      <c r="X21" s="949"/>
    </row>
    <row r="22" spans="1:24" ht="24.75">
      <c r="A22" s="1084"/>
      <c r="B22" s="974" t="s">
        <v>1016</v>
      </c>
      <c r="C22" s="1094"/>
      <c r="D22" s="1096"/>
      <c r="E22" s="903"/>
      <c r="F22" s="949"/>
      <c r="G22" s="949"/>
      <c r="H22" s="949"/>
      <c r="I22" s="949"/>
      <c r="J22" s="949"/>
      <c r="K22" s="949"/>
      <c r="L22" s="949"/>
      <c r="M22" s="949"/>
      <c r="N22" s="949"/>
      <c r="O22" s="949"/>
      <c r="P22" s="949"/>
      <c r="Q22" s="949"/>
      <c r="R22" s="949"/>
      <c r="S22" s="949"/>
      <c r="T22" s="949"/>
      <c r="U22" s="949"/>
      <c r="V22" s="949"/>
      <c r="W22" s="949"/>
      <c r="X22" s="949"/>
    </row>
    <row r="23" spans="1:24" ht="24.75">
      <c r="A23" s="1084"/>
      <c r="B23" s="1033"/>
      <c r="C23" s="1097" t="s">
        <v>155</v>
      </c>
      <c r="D23" s="1096"/>
      <c r="E23" s="903"/>
      <c r="F23" s="949"/>
      <c r="G23" s="949"/>
      <c r="H23" s="949"/>
      <c r="I23" s="949"/>
      <c r="J23" s="949"/>
      <c r="K23" s="949"/>
      <c r="L23" s="949"/>
      <c r="M23" s="949"/>
      <c r="N23" s="949"/>
      <c r="O23" s="949"/>
      <c r="P23" s="949"/>
      <c r="Q23" s="949"/>
      <c r="R23" s="949"/>
      <c r="S23" s="949"/>
      <c r="T23" s="949"/>
      <c r="U23" s="949"/>
      <c r="V23" s="949"/>
      <c r="W23" s="949"/>
      <c r="X23" s="949"/>
    </row>
    <row r="24" spans="1:24" ht="24.75">
      <c r="A24" s="1084"/>
      <c r="B24" s="949"/>
      <c r="C24" s="975" t="s">
        <v>156</v>
      </c>
      <c r="D24" s="1089">
        <v>22.5</v>
      </c>
      <c r="E24" s="1098"/>
      <c r="F24" s="949"/>
      <c r="G24" s="949"/>
      <c r="H24" s="949"/>
      <c r="I24" s="949"/>
      <c r="J24" s="949"/>
      <c r="K24" s="949"/>
      <c r="L24" s="949"/>
      <c r="M24" s="949"/>
      <c r="N24" s="949"/>
      <c r="O24" s="949"/>
      <c r="P24" s="949"/>
      <c r="Q24" s="949"/>
      <c r="R24" s="949"/>
      <c r="S24" s="949"/>
      <c r="T24" s="949"/>
      <c r="U24" s="949"/>
      <c r="V24" s="949"/>
      <c r="W24" s="949"/>
      <c r="X24" s="949"/>
    </row>
    <row r="25" spans="1:24" ht="24.75">
      <c r="A25" s="1084"/>
      <c r="B25" s="974" t="s">
        <v>157</v>
      </c>
      <c r="C25" s="975" t="s">
        <v>158</v>
      </c>
      <c r="D25" s="1089">
        <v>7.5</v>
      </c>
      <c r="E25" s="903" t="s">
        <v>159</v>
      </c>
      <c r="F25" s="949"/>
      <c r="G25" s="949"/>
      <c r="H25" s="949"/>
      <c r="I25" s="949"/>
      <c r="J25" s="949"/>
      <c r="K25" s="949"/>
      <c r="L25" s="949"/>
      <c r="M25" s="949"/>
      <c r="N25" s="949"/>
      <c r="O25" s="949"/>
      <c r="P25" s="949"/>
      <c r="Q25" s="949"/>
      <c r="R25" s="949"/>
      <c r="S25" s="949"/>
      <c r="T25" s="949"/>
      <c r="U25" s="949"/>
      <c r="V25" s="949"/>
      <c r="W25" s="949"/>
      <c r="X25" s="949"/>
    </row>
    <row r="26" spans="1:24" ht="24.75">
      <c r="A26" s="1084"/>
      <c r="B26" s="974"/>
      <c r="C26" s="975" t="s">
        <v>613</v>
      </c>
      <c r="D26" s="1089"/>
      <c r="E26" s="903"/>
      <c r="F26" s="949"/>
      <c r="G26" s="949"/>
      <c r="H26" s="949"/>
      <c r="I26" s="949"/>
      <c r="J26" s="949"/>
      <c r="K26" s="949"/>
      <c r="L26" s="949"/>
      <c r="M26" s="949"/>
      <c r="N26" s="949"/>
      <c r="O26" s="949"/>
      <c r="P26" s="949"/>
      <c r="Q26" s="949"/>
      <c r="R26" s="949"/>
      <c r="S26" s="949"/>
      <c r="T26" s="949"/>
      <c r="U26" s="949"/>
      <c r="V26" s="949"/>
      <c r="W26" s="949"/>
      <c r="X26" s="949"/>
    </row>
    <row r="27" spans="1:24" ht="24.75">
      <c r="A27" s="1084"/>
      <c r="B27" s="974"/>
      <c r="C27" s="975" t="s">
        <v>160</v>
      </c>
      <c r="D27" s="1089">
        <v>30</v>
      </c>
      <c r="E27" s="903"/>
      <c r="F27" s="949"/>
      <c r="G27" s="949"/>
      <c r="H27" s="949"/>
      <c r="I27" s="949"/>
      <c r="J27" s="949"/>
      <c r="K27" s="949"/>
      <c r="L27" s="949"/>
      <c r="M27" s="949"/>
      <c r="N27" s="949"/>
      <c r="O27" s="949"/>
      <c r="P27" s="949"/>
      <c r="Q27" s="949"/>
      <c r="R27" s="949"/>
      <c r="S27" s="949"/>
      <c r="T27" s="949"/>
      <c r="U27" s="949"/>
      <c r="V27" s="949"/>
      <c r="W27" s="949"/>
      <c r="X27" s="949"/>
    </row>
    <row r="28" spans="1:24" ht="24.75">
      <c r="A28" s="1084"/>
      <c r="B28" s="974"/>
      <c r="C28" s="975" t="s">
        <v>161</v>
      </c>
      <c r="D28" s="1089">
        <v>10.5</v>
      </c>
      <c r="E28" s="903" t="s">
        <v>159</v>
      </c>
      <c r="F28" s="949"/>
      <c r="G28" s="949"/>
      <c r="H28" s="949"/>
      <c r="I28" s="949"/>
      <c r="J28" s="949"/>
      <c r="K28" s="949"/>
      <c r="L28" s="949"/>
      <c r="M28" s="949"/>
      <c r="N28" s="949"/>
      <c r="O28" s="949"/>
      <c r="P28" s="949"/>
      <c r="Q28" s="949"/>
      <c r="R28" s="949"/>
      <c r="S28" s="949"/>
      <c r="T28" s="949"/>
      <c r="U28" s="949"/>
      <c r="V28" s="949"/>
      <c r="W28" s="949"/>
      <c r="X28" s="949"/>
    </row>
    <row r="29" spans="1:24" ht="24.75">
      <c r="A29" s="1084"/>
      <c r="B29" s="974"/>
      <c r="C29" s="975" t="s">
        <v>162</v>
      </c>
      <c r="E29" s="903"/>
      <c r="F29" s="949"/>
      <c r="G29" s="949"/>
      <c r="H29" s="949"/>
      <c r="I29" s="949"/>
      <c r="J29" s="949"/>
      <c r="K29" s="949"/>
      <c r="L29" s="949"/>
      <c r="M29" s="949"/>
      <c r="N29" s="949"/>
      <c r="O29" s="949"/>
      <c r="P29" s="949"/>
      <c r="Q29" s="949"/>
      <c r="R29" s="949"/>
      <c r="S29" s="949"/>
      <c r="T29" s="949"/>
      <c r="U29" s="949"/>
      <c r="V29" s="949"/>
      <c r="W29" s="949"/>
      <c r="X29" s="949"/>
    </row>
    <row r="30" spans="1:24" ht="24.75">
      <c r="A30" s="1084"/>
      <c r="B30" s="974"/>
      <c r="C30" s="975" t="s">
        <v>163</v>
      </c>
      <c r="D30" s="1089"/>
      <c r="E30" s="903"/>
      <c r="F30" s="949"/>
      <c r="G30" s="949"/>
      <c r="H30" s="949"/>
      <c r="I30" s="949"/>
      <c r="J30" s="949"/>
      <c r="K30" s="949"/>
      <c r="L30" s="949"/>
      <c r="M30" s="949"/>
      <c r="N30" s="949"/>
      <c r="O30" s="949"/>
      <c r="P30" s="949"/>
      <c r="Q30" s="949"/>
      <c r="R30" s="949"/>
      <c r="S30" s="949"/>
      <c r="T30" s="949"/>
      <c r="U30" s="949"/>
      <c r="V30" s="949"/>
      <c r="W30" s="949"/>
      <c r="X30" s="949"/>
    </row>
    <row r="31" spans="1:24" ht="24.75">
      <c r="A31" s="1084"/>
      <c r="B31" s="974" t="s">
        <v>1248</v>
      </c>
      <c r="C31" s="989" t="s">
        <v>616</v>
      </c>
      <c r="D31" s="1102" t="s">
        <v>164</v>
      </c>
      <c r="E31" s="1040" t="s">
        <v>165</v>
      </c>
      <c r="F31" s="949"/>
      <c r="G31" s="949"/>
      <c r="H31" s="949"/>
      <c r="I31" s="949"/>
      <c r="J31" s="949"/>
      <c r="K31" s="949"/>
      <c r="L31" s="949"/>
      <c r="M31" s="949"/>
      <c r="N31" s="949"/>
      <c r="O31" s="949"/>
      <c r="P31" s="949"/>
      <c r="Q31" s="949"/>
      <c r="R31" s="949"/>
      <c r="S31" s="949"/>
      <c r="T31" s="949"/>
      <c r="U31" s="949"/>
      <c r="V31" s="949"/>
      <c r="W31" s="949"/>
      <c r="X31" s="949"/>
    </row>
    <row r="32" spans="1:24" ht="24.75" customHeight="1">
      <c r="A32" s="1084"/>
      <c r="B32" s="985" t="s">
        <v>1249</v>
      </c>
      <c r="C32" s="989" t="s">
        <v>617</v>
      </c>
      <c r="D32" s="976" t="s">
        <v>166</v>
      </c>
      <c r="E32" s="1040"/>
      <c r="F32" s="949"/>
      <c r="G32" s="949"/>
      <c r="H32" s="949"/>
      <c r="I32" s="949"/>
      <c r="J32" s="949"/>
      <c r="K32" s="949"/>
      <c r="L32" s="949"/>
      <c r="M32" s="949"/>
      <c r="N32" s="949"/>
      <c r="O32" s="949"/>
      <c r="P32" s="949"/>
      <c r="Q32" s="949"/>
      <c r="R32" s="949"/>
      <c r="S32" s="949"/>
      <c r="T32" s="949"/>
      <c r="U32" s="949"/>
      <c r="V32" s="949"/>
      <c r="W32" s="949"/>
      <c r="X32" s="949"/>
    </row>
    <row r="33" spans="1:24" ht="24.75">
      <c r="A33" s="1084"/>
      <c r="B33" s="974"/>
      <c r="C33" s="981" t="s">
        <v>154</v>
      </c>
      <c r="D33" s="976"/>
      <c r="E33" s="1040"/>
      <c r="F33" s="949"/>
      <c r="G33" s="949"/>
      <c r="H33" s="949"/>
      <c r="I33" s="949"/>
      <c r="J33" s="949"/>
      <c r="K33" s="949"/>
      <c r="L33" s="949"/>
      <c r="M33" s="949"/>
      <c r="N33" s="949"/>
      <c r="O33" s="949"/>
      <c r="P33" s="949"/>
      <c r="Q33" s="949"/>
      <c r="R33" s="949"/>
      <c r="S33" s="949"/>
      <c r="T33" s="949"/>
      <c r="U33" s="949"/>
      <c r="V33" s="949"/>
      <c r="W33" s="949"/>
      <c r="X33" s="949"/>
    </row>
    <row r="34" spans="1:24" ht="24.75">
      <c r="A34" s="1084"/>
      <c r="B34" s="974" t="s">
        <v>1250</v>
      </c>
      <c r="C34" s="1046" t="s">
        <v>620</v>
      </c>
      <c r="D34" s="905"/>
      <c r="E34" s="903"/>
      <c r="F34" s="949"/>
      <c r="G34" s="949"/>
      <c r="H34" s="949"/>
      <c r="I34" s="949"/>
      <c r="J34" s="949"/>
      <c r="K34" s="949"/>
      <c r="L34" s="949"/>
      <c r="M34" s="949"/>
      <c r="N34" s="949"/>
      <c r="O34" s="949"/>
      <c r="P34" s="949"/>
      <c r="Q34" s="949"/>
      <c r="R34" s="949"/>
      <c r="S34" s="949"/>
      <c r="T34" s="949"/>
      <c r="U34" s="949"/>
      <c r="V34" s="949"/>
      <c r="W34" s="949"/>
      <c r="X34" s="949"/>
    </row>
    <row r="35" spans="1:24" ht="24.75">
      <c r="A35" s="1084"/>
      <c r="B35" s="974" t="s">
        <v>1251</v>
      </c>
      <c r="C35" s="975" t="s">
        <v>167</v>
      </c>
      <c r="D35" s="1022" t="s">
        <v>164</v>
      </c>
      <c r="E35" s="903" t="s">
        <v>168</v>
      </c>
      <c r="F35" s="949"/>
      <c r="G35" s="949"/>
      <c r="H35" s="949"/>
      <c r="I35" s="949"/>
      <c r="J35" s="949"/>
      <c r="K35" s="949"/>
      <c r="L35" s="949"/>
      <c r="M35" s="949"/>
      <c r="N35" s="949"/>
      <c r="O35" s="949"/>
      <c r="P35" s="949"/>
      <c r="Q35" s="949"/>
      <c r="R35" s="949"/>
      <c r="S35" s="949"/>
      <c r="T35" s="949"/>
      <c r="U35" s="949"/>
      <c r="V35" s="949"/>
      <c r="W35" s="949"/>
      <c r="X35" s="949"/>
    </row>
    <row r="36" spans="1:24" ht="24.75">
      <c r="A36" s="1084"/>
      <c r="B36" s="974"/>
      <c r="C36" s="975" t="s">
        <v>169</v>
      </c>
      <c r="D36" s="1095">
        <v>37.5</v>
      </c>
      <c r="E36" s="903"/>
      <c r="F36" s="949"/>
      <c r="G36" s="949"/>
      <c r="H36" s="949"/>
      <c r="I36" s="949"/>
      <c r="J36" s="949"/>
      <c r="K36" s="949"/>
      <c r="L36" s="949"/>
      <c r="M36" s="949"/>
      <c r="N36" s="949"/>
      <c r="O36" s="949"/>
      <c r="P36" s="949"/>
      <c r="Q36" s="949"/>
      <c r="R36" s="949"/>
      <c r="S36" s="949"/>
      <c r="T36" s="949"/>
      <c r="U36" s="949"/>
      <c r="V36" s="949"/>
      <c r="W36" s="949"/>
      <c r="X36" s="949"/>
    </row>
    <row r="37" spans="1:24" ht="24.75">
      <c r="A37" s="1084"/>
      <c r="B37" s="974"/>
      <c r="C37" s="975" t="s">
        <v>170</v>
      </c>
      <c r="D37" s="1095">
        <v>37.5</v>
      </c>
      <c r="E37" s="903"/>
      <c r="F37" s="949"/>
      <c r="G37" s="949"/>
      <c r="H37" s="949"/>
      <c r="I37" s="949"/>
      <c r="J37" s="949"/>
      <c r="K37" s="949"/>
      <c r="L37" s="949"/>
      <c r="M37" s="949"/>
      <c r="N37" s="949"/>
      <c r="O37" s="949"/>
      <c r="P37" s="949"/>
      <c r="Q37" s="949"/>
      <c r="R37" s="949"/>
      <c r="S37" s="949"/>
      <c r="T37" s="949"/>
      <c r="U37" s="949"/>
      <c r="V37" s="949"/>
      <c r="W37" s="949"/>
      <c r="X37" s="949"/>
    </row>
    <row r="38" spans="1:24" ht="24.75">
      <c r="A38" s="1084"/>
      <c r="B38" s="974"/>
      <c r="C38" s="975" t="s">
        <v>621</v>
      </c>
      <c r="D38" s="1095"/>
      <c r="E38" s="903"/>
      <c r="F38" s="949"/>
      <c r="G38" s="949"/>
      <c r="H38" s="949"/>
      <c r="I38" s="949"/>
      <c r="J38" s="949"/>
      <c r="K38" s="949"/>
      <c r="L38" s="949"/>
      <c r="M38" s="949"/>
      <c r="N38" s="949"/>
      <c r="O38" s="949"/>
      <c r="P38" s="949"/>
      <c r="Q38" s="949"/>
      <c r="R38" s="949"/>
      <c r="S38" s="949"/>
      <c r="T38" s="949"/>
      <c r="U38" s="949"/>
      <c r="V38" s="949"/>
      <c r="W38" s="949"/>
      <c r="X38" s="949"/>
    </row>
    <row r="39" spans="1:24" ht="24.75">
      <c r="A39" s="1084"/>
      <c r="B39" s="974"/>
      <c r="C39" s="975" t="s">
        <v>167</v>
      </c>
      <c r="D39" s="1095" t="s">
        <v>166</v>
      </c>
      <c r="E39" s="903" t="s">
        <v>171</v>
      </c>
      <c r="F39" s="949"/>
      <c r="G39" s="949"/>
      <c r="H39" s="949"/>
      <c r="I39" s="949"/>
      <c r="J39" s="949"/>
      <c r="K39" s="949"/>
      <c r="L39" s="949"/>
      <c r="M39" s="949"/>
      <c r="N39" s="949"/>
      <c r="O39" s="949"/>
      <c r="P39" s="949"/>
      <c r="Q39" s="949"/>
      <c r="R39" s="949"/>
      <c r="S39" s="949"/>
      <c r="T39" s="949"/>
      <c r="U39" s="949"/>
      <c r="V39" s="949"/>
      <c r="W39" s="949"/>
      <c r="X39" s="949"/>
    </row>
    <row r="40" spans="1:24" ht="24.75">
      <c r="A40" s="1084"/>
      <c r="B40" s="974"/>
      <c r="C40" s="975" t="s">
        <v>172</v>
      </c>
      <c r="D40" s="1117" t="s">
        <v>173</v>
      </c>
      <c r="E40" s="903"/>
      <c r="F40" s="949"/>
      <c r="G40" s="949"/>
      <c r="H40" s="949"/>
      <c r="I40" s="949"/>
      <c r="J40" s="949"/>
      <c r="K40" s="949"/>
      <c r="L40" s="949"/>
      <c r="M40" s="949"/>
      <c r="N40" s="949"/>
      <c r="O40" s="949"/>
      <c r="P40" s="949"/>
      <c r="Q40" s="949"/>
      <c r="R40" s="949"/>
      <c r="S40" s="949"/>
      <c r="T40" s="949"/>
      <c r="U40" s="949"/>
      <c r="V40" s="949"/>
      <c r="W40" s="949"/>
      <c r="X40" s="949"/>
    </row>
    <row r="41" spans="1:24" ht="27" customHeight="1">
      <c r="A41" s="1084"/>
      <c r="B41" s="974"/>
      <c r="C41" s="975" t="s">
        <v>170</v>
      </c>
      <c r="D41" s="1117" t="s">
        <v>174</v>
      </c>
      <c r="E41" s="903"/>
      <c r="F41" s="949"/>
      <c r="G41" s="949"/>
      <c r="H41" s="949"/>
      <c r="I41" s="949"/>
      <c r="J41" s="949"/>
      <c r="K41" s="949"/>
      <c r="L41" s="949"/>
      <c r="M41" s="949"/>
      <c r="N41" s="949"/>
      <c r="O41" s="949"/>
      <c r="P41" s="949"/>
      <c r="Q41" s="949"/>
      <c r="R41" s="949"/>
      <c r="S41" s="949"/>
      <c r="T41" s="949"/>
      <c r="U41" s="949"/>
      <c r="V41" s="949"/>
      <c r="W41" s="949"/>
      <c r="X41" s="949"/>
    </row>
    <row r="42" spans="1:24" ht="24.75">
      <c r="A42" s="1084"/>
      <c r="B42" s="974"/>
      <c r="C42" s="975" t="s">
        <v>175</v>
      </c>
      <c r="D42" s="1089"/>
      <c r="E42" s="903"/>
      <c r="F42" s="949"/>
      <c r="G42" s="949"/>
      <c r="H42" s="949"/>
      <c r="I42" s="949"/>
      <c r="J42" s="949"/>
      <c r="K42" s="949"/>
      <c r="L42" s="949"/>
      <c r="M42" s="949"/>
      <c r="N42" s="949"/>
      <c r="O42" s="949"/>
      <c r="P42" s="949"/>
      <c r="Q42" s="949"/>
      <c r="R42" s="949"/>
      <c r="S42" s="949"/>
      <c r="T42" s="949"/>
      <c r="U42" s="949"/>
      <c r="V42" s="949"/>
      <c r="W42" s="949"/>
      <c r="X42" s="949"/>
    </row>
    <row r="43" spans="1:24" ht="24.75">
      <c r="A43" s="1084"/>
      <c r="B43" s="974"/>
      <c r="C43" s="975" t="s">
        <v>167</v>
      </c>
      <c r="D43" s="1089" t="s">
        <v>164</v>
      </c>
      <c r="E43" s="903"/>
      <c r="F43" s="949"/>
      <c r="G43" s="949"/>
      <c r="H43" s="949"/>
      <c r="I43" s="949"/>
      <c r="J43" s="949"/>
      <c r="K43" s="949"/>
      <c r="L43" s="949"/>
      <c r="M43" s="949"/>
      <c r="N43" s="949"/>
      <c r="O43" s="949"/>
      <c r="P43" s="949"/>
      <c r="Q43" s="949"/>
      <c r="R43" s="949"/>
      <c r="S43" s="949"/>
      <c r="T43" s="949"/>
      <c r="U43" s="949"/>
      <c r="V43" s="949"/>
      <c r="W43" s="949"/>
      <c r="X43" s="949"/>
    </row>
    <row r="44" spans="1:24" ht="27" customHeight="1">
      <c r="A44" s="1084"/>
      <c r="B44" s="974"/>
      <c r="C44" s="975" t="s">
        <v>169</v>
      </c>
      <c r="D44" s="1089">
        <v>37.5</v>
      </c>
      <c r="E44" s="903"/>
      <c r="F44" s="949"/>
      <c r="G44" s="949"/>
      <c r="H44" s="949"/>
      <c r="I44" s="949"/>
      <c r="J44" s="949"/>
      <c r="K44" s="949"/>
      <c r="L44" s="949"/>
      <c r="M44" s="949"/>
      <c r="N44" s="949"/>
      <c r="O44" s="949"/>
      <c r="P44" s="949"/>
      <c r="Q44" s="949"/>
      <c r="R44" s="949"/>
      <c r="S44" s="949"/>
      <c r="T44" s="949"/>
      <c r="U44" s="949"/>
      <c r="V44" s="949"/>
      <c r="W44" s="949"/>
      <c r="X44" s="949"/>
    </row>
    <row r="45" spans="1:24" ht="27" customHeight="1">
      <c r="A45" s="1084"/>
      <c r="B45" s="974"/>
      <c r="C45" s="975" t="s">
        <v>170</v>
      </c>
      <c r="D45" s="1089">
        <v>37.5</v>
      </c>
      <c r="E45" s="903"/>
      <c r="F45" s="949"/>
      <c r="G45" s="949"/>
      <c r="H45" s="949"/>
      <c r="I45" s="949"/>
      <c r="J45" s="949"/>
      <c r="K45" s="949"/>
      <c r="L45" s="949"/>
      <c r="M45" s="949"/>
      <c r="N45" s="949"/>
      <c r="O45" s="949"/>
      <c r="P45" s="949"/>
      <c r="Q45" s="949"/>
      <c r="R45" s="949"/>
      <c r="S45" s="949"/>
      <c r="T45" s="949"/>
      <c r="U45" s="949"/>
      <c r="V45" s="949"/>
      <c r="W45" s="949"/>
      <c r="X45" s="949"/>
    </row>
    <row r="46" spans="1:24" ht="24.75">
      <c r="A46" s="1084"/>
      <c r="B46" s="974" t="s">
        <v>1237</v>
      </c>
      <c r="C46" s="989" t="s">
        <v>208</v>
      </c>
      <c r="D46" s="1179">
        <v>10</v>
      </c>
      <c r="E46" s="1040"/>
      <c r="F46" s="949"/>
      <c r="G46" s="949"/>
      <c r="H46" s="949"/>
      <c r="I46" s="949"/>
      <c r="J46" s="949"/>
      <c r="K46" s="949"/>
      <c r="L46" s="949"/>
      <c r="M46" s="949"/>
      <c r="N46" s="949"/>
      <c r="O46" s="949"/>
      <c r="P46" s="949"/>
      <c r="Q46" s="949"/>
      <c r="R46" s="949"/>
      <c r="S46" s="949"/>
      <c r="T46" s="949"/>
      <c r="U46" s="949"/>
      <c r="V46" s="949"/>
      <c r="W46" s="949"/>
      <c r="X46" s="949"/>
    </row>
    <row r="47" spans="1:24" ht="27" customHeight="1">
      <c r="A47" s="1099"/>
      <c r="B47" s="974" t="s">
        <v>1238</v>
      </c>
      <c r="C47" s="975" t="s">
        <v>176</v>
      </c>
      <c r="D47" s="1089" t="s">
        <v>177</v>
      </c>
      <c r="E47" s="903" t="s">
        <v>1018</v>
      </c>
      <c r="F47" s="949"/>
      <c r="G47" s="949"/>
      <c r="H47" s="949"/>
      <c r="I47" s="949"/>
      <c r="J47" s="949"/>
      <c r="K47" s="949"/>
      <c r="L47" s="949"/>
      <c r="M47" s="949"/>
      <c r="N47" s="949"/>
      <c r="O47" s="949"/>
      <c r="P47" s="949"/>
      <c r="Q47" s="949"/>
      <c r="R47" s="949"/>
      <c r="S47" s="949"/>
      <c r="T47" s="949"/>
      <c r="U47" s="949"/>
      <c r="V47" s="949"/>
      <c r="W47" s="949"/>
      <c r="X47" s="949"/>
    </row>
    <row r="48" spans="1:24" ht="27" customHeight="1">
      <c r="A48" s="1099"/>
      <c r="B48" s="974"/>
      <c r="C48" s="975"/>
      <c r="D48" s="1089"/>
      <c r="E48" s="903" t="s">
        <v>1019</v>
      </c>
      <c r="F48" s="949"/>
      <c r="G48" s="949"/>
      <c r="H48" s="949"/>
      <c r="I48" s="949"/>
      <c r="J48" s="949"/>
      <c r="K48" s="949"/>
      <c r="L48" s="949"/>
      <c r="M48" s="949"/>
      <c r="N48" s="949"/>
      <c r="O48" s="949"/>
      <c r="P48" s="949"/>
      <c r="Q48" s="949"/>
      <c r="R48" s="949"/>
      <c r="S48" s="949"/>
      <c r="T48" s="949"/>
      <c r="U48" s="949"/>
      <c r="V48" s="949"/>
      <c r="W48" s="949"/>
      <c r="X48" s="949"/>
    </row>
    <row r="49" spans="1:24" ht="27" customHeight="1">
      <c r="A49" s="1084"/>
      <c r="B49" s="974" t="s">
        <v>1239</v>
      </c>
      <c r="C49" s="975" t="s">
        <v>178</v>
      </c>
      <c r="D49" s="1089" t="s">
        <v>179</v>
      </c>
      <c r="E49" s="903" t="s">
        <v>1019</v>
      </c>
      <c r="F49" s="949"/>
      <c r="G49" s="949"/>
      <c r="H49" s="949"/>
      <c r="I49" s="949"/>
      <c r="J49" s="949"/>
      <c r="K49" s="949"/>
      <c r="L49" s="949"/>
      <c r="M49" s="949"/>
      <c r="N49" s="949"/>
      <c r="O49" s="949"/>
      <c r="P49" s="949"/>
      <c r="Q49" s="949"/>
      <c r="R49" s="949"/>
      <c r="S49" s="949"/>
      <c r="T49" s="949"/>
      <c r="U49" s="949"/>
      <c r="V49" s="949"/>
      <c r="W49" s="949"/>
      <c r="X49" s="949"/>
    </row>
    <row r="50" spans="1:24" ht="27" customHeight="1">
      <c r="A50" s="977"/>
      <c r="B50" s="1033" t="s">
        <v>180</v>
      </c>
      <c r="C50" s="1094"/>
      <c r="D50" s="1100"/>
      <c r="E50" s="903"/>
      <c r="F50" s="949"/>
      <c r="G50" s="949"/>
      <c r="H50" s="949"/>
      <c r="I50" s="949"/>
      <c r="J50" s="949"/>
      <c r="K50" s="949"/>
      <c r="L50" s="949"/>
      <c r="M50" s="949"/>
      <c r="N50" s="949"/>
      <c r="O50" s="949"/>
      <c r="P50" s="949"/>
      <c r="Q50" s="949"/>
      <c r="R50" s="949"/>
      <c r="S50" s="949"/>
      <c r="T50" s="949"/>
      <c r="U50" s="949"/>
      <c r="V50" s="949"/>
      <c r="W50" s="949"/>
      <c r="X50" s="949"/>
    </row>
    <row r="51" spans="1:24" ht="24.75" customHeight="1">
      <c r="A51" s="977"/>
      <c r="B51" s="974" t="s">
        <v>1240</v>
      </c>
      <c r="C51" s="975" t="s">
        <v>181</v>
      </c>
      <c r="D51" s="1101">
        <v>1</v>
      </c>
      <c r="E51" s="903" t="s">
        <v>179</v>
      </c>
      <c r="F51" s="949"/>
      <c r="G51" s="949"/>
      <c r="H51" s="949"/>
      <c r="I51" s="949"/>
      <c r="J51" s="949"/>
      <c r="K51" s="949"/>
      <c r="L51" s="949"/>
      <c r="M51" s="949"/>
      <c r="N51" s="949"/>
      <c r="O51" s="949"/>
      <c r="P51" s="949"/>
      <c r="Q51" s="949"/>
      <c r="R51" s="949"/>
      <c r="S51" s="949"/>
      <c r="T51" s="949"/>
      <c r="U51" s="949"/>
      <c r="V51" s="949"/>
      <c r="W51" s="949"/>
      <c r="X51" s="949"/>
    </row>
    <row r="52" spans="1:24" ht="28.5" customHeight="1">
      <c r="A52" s="1099"/>
      <c r="B52" s="974"/>
      <c r="C52" s="975"/>
      <c r="D52" s="1089"/>
      <c r="E52" s="903" t="s">
        <v>1019</v>
      </c>
      <c r="F52" s="949"/>
      <c r="G52" s="949"/>
      <c r="H52" s="949"/>
      <c r="I52" s="949"/>
      <c r="J52" s="949"/>
      <c r="K52" s="949"/>
      <c r="L52" s="949"/>
      <c r="M52" s="949"/>
      <c r="N52" s="949"/>
      <c r="O52" s="949"/>
      <c r="P52" s="949"/>
      <c r="Q52" s="949"/>
      <c r="R52" s="949"/>
      <c r="S52" s="949"/>
      <c r="T52" s="949"/>
      <c r="U52" s="949"/>
      <c r="V52" s="949"/>
      <c r="W52" s="949"/>
      <c r="X52" s="949"/>
    </row>
    <row r="53" spans="1:24" ht="28.5" customHeight="1">
      <c r="A53" s="1084"/>
      <c r="B53" s="974" t="s">
        <v>1241</v>
      </c>
      <c r="C53" s="975" t="s">
        <v>102</v>
      </c>
      <c r="D53" s="1089" t="s">
        <v>179</v>
      </c>
      <c r="E53" s="903" t="s">
        <v>182</v>
      </c>
      <c r="F53" s="949"/>
      <c r="G53" s="949"/>
      <c r="H53" s="949"/>
      <c r="I53" s="949"/>
      <c r="J53" s="949"/>
      <c r="K53" s="949"/>
      <c r="L53" s="949"/>
      <c r="M53" s="949"/>
      <c r="N53" s="949"/>
      <c r="O53" s="949"/>
      <c r="P53" s="949"/>
      <c r="Q53" s="949"/>
      <c r="R53" s="949"/>
      <c r="S53" s="949"/>
      <c r="T53" s="949"/>
      <c r="U53" s="949"/>
      <c r="V53" s="949"/>
      <c r="W53" s="949"/>
      <c r="X53" s="949"/>
    </row>
    <row r="54" spans="1:24" ht="24.75">
      <c r="A54" s="1084"/>
      <c r="B54" s="974" t="s">
        <v>415</v>
      </c>
      <c r="C54" s="975"/>
      <c r="D54" s="1089"/>
      <c r="E54" s="903" t="s">
        <v>1019</v>
      </c>
      <c r="F54" s="949"/>
      <c r="G54" s="949"/>
      <c r="H54" s="949"/>
      <c r="I54" s="949"/>
      <c r="J54" s="949"/>
      <c r="K54" s="949"/>
      <c r="L54" s="949"/>
      <c r="M54" s="949"/>
      <c r="N54" s="949"/>
      <c r="O54" s="949"/>
      <c r="P54" s="949"/>
      <c r="Q54" s="949"/>
      <c r="R54" s="949"/>
      <c r="S54" s="949"/>
      <c r="T54" s="949"/>
      <c r="U54" s="949"/>
      <c r="V54" s="949"/>
      <c r="W54" s="949"/>
      <c r="X54" s="949"/>
    </row>
    <row r="55" spans="1:24" ht="24.75">
      <c r="A55" s="1099"/>
      <c r="B55" s="974" t="s">
        <v>1242</v>
      </c>
      <c r="C55" s="975" t="s">
        <v>417</v>
      </c>
      <c r="D55" s="1022" t="s">
        <v>183</v>
      </c>
      <c r="E55" s="903" t="s">
        <v>1020</v>
      </c>
      <c r="F55" s="949"/>
      <c r="G55" s="949"/>
      <c r="H55" s="949"/>
      <c r="I55" s="949"/>
      <c r="J55" s="949"/>
      <c r="K55" s="949"/>
      <c r="L55" s="949"/>
      <c r="M55" s="949"/>
      <c r="N55" s="949"/>
      <c r="O55" s="949"/>
      <c r="P55" s="949"/>
      <c r="Q55" s="949"/>
      <c r="R55" s="949"/>
      <c r="S55" s="949"/>
      <c r="T55" s="949"/>
      <c r="U55" s="949"/>
      <c r="V55" s="949"/>
      <c r="W55" s="949"/>
      <c r="X55" s="949"/>
    </row>
    <row r="56" spans="1:24" ht="27" customHeight="1">
      <c r="A56" s="1099"/>
      <c r="B56" s="974" t="s">
        <v>416</v>
      </c>
      <c r="C56" s="975"/>
      <c r="D56" s="1022"/>
      <c r="E56" s="903" t="s">
        <v>1021</v>
      </c>
      <c r="F56" s="949"/>
      <c r="G56" s="949"/>
      <c r="H56" s="949"/>
      <c r="I56" s="949"/>
      <c r="J56" s="949"/>
      <c r="K56" s="949"/>
      <c r="L56" s="949"/>
      <c r="M56" s="949"/>
      <c r="N56" s="949"/>
      <c r="O56" s="949"/>
      <c r="P56" s="949"/>
      <c r="Q56" s="949"/>
      <c r="R56" s="949"/>
      <c r="S56" s="949"/>
      <c r="T56" s="949"/>
      <c r="U56" s="949"/>
      <c r="V56" s="949"/>
      <c r="W56" s="949"/>
      <c r="X56" s="949"/>
    </row>
    <row r="57" spans="1:24" ht="28.5" customHeight="1">
      <c r="A57" s="1084"/>
      <c r="B57" s="974" t="s">
        <v>1243</v>
      </c>
      <c r="C57" s="1180"/>
      <c r="D57" s="1095"/>
      <c r="E57" s="1026" t="s">
        <v>1019</v>
      </c>
      <c r="F57" s="949"/>
      <c r="G57" s="949"/>
      <c r="H57" s="949"/>
      <c r="I57" s="949"/>
      <c r="J57" s="949"/>
      <c r="K57" s="949"/>
      <c r="L57" s="949"/>
      <c r="M57" s="949"/>
      <c r="N57" s="949"/>
      <c r="O57" s="949"/>
      <c r="P57" s="949"/>
      <c r="Q57" s="949"/>
      <c r="R57" s="949"/>
      <c r="S57" s="949"/>
      <c r="T57" s="949"/>
      <c r="U57" s="949"/>
      <c r="V57" s="949"/>
      <c r="W57" s="949"/>
      <c r="X57" s="949"/>
    </row>
    <row r="58" spans="1:24" ht="24.75">
      <c r="A58" s="1084"/>
      <c r="B58" s="974" t="s">
        <v>184</v>
      </c>
      <c r="C58" s="975" t="s">
        <v>620</v>
      </c>
      <c r="D58" s="1022">
        <v>112.5</v>
      </c>
      <c r="E58" s="1026" t="s">
        <v>185</v>
      </c>
      <c r="F58" s="949"/>
      <c r="G58" s="949"/>
      <c r="H58" s="949"/>
      <c r="I58" s="949"/>
      <c r="J58" s="949"/>
      <c r="K58" s="949"/>
      <c r="L58" s="949"/>
      <c r="M58" s="949"/>
      <c r="N58" s="949"/>
      <c r="O58" s="949"/>
      <c r="P58" s="949"/>
      <c r="Q58" s="949"/>
      <c r="R58" s="949"/>
      <c r="S58" s="949"/>
      <c r="T58" s="949"/>
      <c r="U58" s="949"/>
      <c r="V58" s="949"/>
      <c r="W58" s="949"/>
      <c r="X58" s="949"/>
    </row>
    <row r="59" spans="1:24" ht="24.75">
      <c r="A59" s="1084"/>
      <c r="B59" s="974"/>
      <c r="C59" s="975" t="s">
        <v>1244</v>
      </c>
      <c r="D59" s="1089">
        <v>225</v>
      </c>
      <c r="E59" s="1026" t="s">
        <v>186</v>
      </c>
      <c r="F59" s="949"/>
      <c r="G59" s="949"/>
      <c r="H59" s="949"/>
      <c r="I59" s="949"/>
      <c r="J59" s="949"/>
      <c r="K59" s="949"/>
      <c r="L59" s="949"/>
      <c r="M59" s="949"/>
      <c r="N59" s="949"/>
      <c r="O59" s="949"/>
      <c r="P59" s="949"/>
      <c r="Q59" s="949"/>
      <c r="R59" s="949"/>
      <c r="S59" s="949"/>
      <c r="T59" s="949"/>
      <c r="U59" s="949"/>
      <c r="V59" s="949"/>
      <c r="W59" s="949"/>
      <c r="X59" s="949"/>
    </row>
    <row r="60" spans="1:24" ht="26.25" customHeight="1">
      <c r="A60" s="1084"/>
      <c r="B60" s="974" t="s">
        <v>187</v>
      </c>
      <c r="C60" s="975" t="s">
        <v>621</v>
      </c>
      <c r="D60" s="1089">
        <v>34.5</v>
      </c>
      <c r="E60" s="1026" t="s">
        <v>188</v>
      </c>
      <c r="F60" s="949"/>
      <c r="G60" s="949"/>
      <c r="H60" s="949"/>
      <c r="I60" s="949"/>
      <c r="J60" s="949"/>
      <c r="K60" s="949"/>
      <c r="L60" s="949"/>
      <c r="M60" s="949"/>
      <c r="N60" s="949"/>
      <c r="O60" s="949"/>
      <c r="P60" s="949"/>
      <c r="Q60" s="949"/>
      <c r="R60" s="949"/>
      <c r="S60" s="949"/>
      <c r="T60" s="949"/>
      <c r="U60" s="949"/>
      <c r="V60" s="949"/>
      <c r="W60" s="949"/>
      <c r="X60" s="949"/>
    </row>
    <row r="61" spans="1:24" ht="26.25" customHeight="1">
      <c r="A61" s="1084"/>
      <c r="B61" s="974"/>
      <c r="C61" s="975" t="s">
        <v>621</v>
      </c>
      <c r="D61" s="1089">
        <v>67.5</v>
      </c>
      <c r="E61" s="1026" t="s">
        <v>189</v>
      </c>
      <c r="F61" s="949"/>
      <c r="G61" s="949"/>
      <c r="H61" s="949"/>
      <c r="I61" s="949"/>
      <c r="J61" s="949"/>
      <c r="K61" s="949"/>
      <c r="L61" s="949"/>
      <c r="M61" s="949"/>
      <c r="N61" s="949"/>
      <c r="O61" s="949"/>
      <c r="P61" s="949"/>
      <c r="Q61" s="949"/>
      <c r="R61" s="949"/>
      <c r="S61" s="949"/>
      <c r="T61" s="949"/>
      <c r="U61" s="949"/>
      <c r="V61" s="949"/>
      <c r="W61" s="949"/>
      <c r="X61" s="949"/>
    </row>
    <row r="62" spans="1:24" ht="26.25" customHeight="1">
      <c r="A62" s="1084"/>
      <c r="B62" s="974" t="s">
        <v>1245</v>
      </c>
      <c r="C62" s="975" t="s">
        <v>1217</v>
      </c>
      <c r="D62" s="1089">
        <v>0.5</v>
      </c>
      <c r="E62" s="1026" t="s">
        <v>1246</v>
      </c>
      <c r="F62" s="949"/>
      <c r="G62" s="949"/>
      <c r="H62" s="949"/>
      <c r="I62" s="949"/>
      <c r="J62" s="949"/>
      <c r="K62" s="949"/>
      <c r="L62" s="949"/>
      <c r="M62" s="949"/>
      <c r="N62" s="949"/>
      <c r="O62" s="949"/>
      <c r="P62" s="949"/>
      <c r="Q62" s="949"/>
      <c r="R62" s="949"/>
      <c r="S62" s="949"/>
      <c r="T62" s="949"/>
      <c r="U62" s="949"/>
      <c r="V62" s="949"/>
      <c r="W62" s="949"/>
      <c r="X62" s="949"/>
    </row>
    <row r="63" spans="1:24" ht="26.25" customHeight="1">
      <c r="A63" s="1084"/>
      <c r="B63" s="974"/>
      <c r="C63" s="975" t="s">
        <v>1219</v>
      </c>
      <c r="D63" s="1181">
        <v>3</v>
      </c>
      <c r="E63" s="1026" t="s">
        <v>1246</v>
      </c>
      <c r="F63" s="949"/>
      <c r="G63" s="949"/>
      <c r="H63" s="949"/>
      <c r="I63" s="949"/>
      <c r="J63" s="949"/>
      <c r="K63" s="949"/>
      <c r="L63" s="949"/>
      <c r="M63" s="949"/>
      <c r="N63" s="949"/>
      <c r="O63" s="949"/>
      <c r="P63" s="949"/>
      <c r="Q63" s="949"/>
      <c r="R63" s="949"/>
      <c r="S63" s="949"/>
      <c r="T63" s="949"/>
      <c r="U63" s="949"/>
      <c r="V63" s="949"/>
      <c r="W63" s="949"/>
      <c r="X63" s="949"/>
    </row>
    <row r="64" spans="1:24" ht="26.25" customHeight="1">
      <c r="A64" s="1084"/>
      <c r="B64" s="974"/>
      <c r="C64" s="975" t="s">
        <v>1220</v>
      </c>
      <c r="D64" s="1181">
        <v>6</v>
      </c>
      <c r="E64" s="1026" t="s">
        <v>1246</v>
      </c>
      <c r="F64" s="949"/>
      <c r="G64" s="949"/>
      <c r="H64" s="949"/>
      <c r="I64" s="949"/>
      <c r="J64" s="949"/>
      <c r="K64" s="949"/>
      <c r="L64" s="949"/>
      <c r="M64" s="949"/>
      <c r="N64" s="949"/>
      <c r="O64" s="949"/>
      <c r="P64" s="949"/>
      <c r="Q64" s="949"/>
      <c r="R64" s="949"/>
      <c r="S64" s="949"/>
      <c r="T64" s="949"/>
      <c r="U64" s="949"/>
      <c r="V64" s="949"/>
      <c r="W64" s="949"/>
      <c r="X64" s="949"/>
    </row>
    <row r="65" spans="1:24" ht="26.25" customHeight="1">
      <c r="A65" s="1084"/>
      <c r="B65" s="974"/>
      <c r="C65" s="975" t="s">
        <v>1253</v>
      </c>
      <c r="D65" s="1181">
        <v>6</v>
      </c>
      <c r="E65" s="1026" t="s">
        <v>1246</v>
      </c>
      <c r="F65" s="949"/>
      <c r="G65" s="949"/>
      <c r="H65" s="949"/>
      <c r="I65" s="949"/>
      <c r="J65" s="949"/>
      <c r="K65" s="949"/>
      <c r="L65" s="949"/>
      <c r="M65" s="949"/>
      <c r="N65" s="949"/>
      <c r="O65" s="949"/>
      <c r="P65" s="949"/>
      <c r="Q65" s="949"/>
      <c r="R65" s="949"/>
      <c r="S65" s="949"/>
      <c r="T65" s="949"/>
      <c r="U65" s="949"/>
      <c r="V65" s="949"/>
      <c r="W65" s="949"/>
      <c r="X65" s="949"/>
    </row>
    <row r="66" spans="1:24" ht="26.25" customHeight="1">
      <c r="A66" s="1084"/>
      <c r="B66" s="974"/>
      <c r="C66" s="975" t="s">
        <v>1221</v>
      </c>
      <c r="D66" s="1181">
        <v>9</v>
      </c>
      <c r="E66" s="1026" t="s">
        <v>1246</v>
      </c>
      <c r="F66" s="949"/>
      <c r="G66" s="949"/>
      <c r="H66" s="949"/>
      <c r="I66" s="949"/>
      <c r="J66" s="949"/>
      <c r="K66" s="949"/>
      <c r="L66" s="949"/>
      <c r="M66" s="949"/>
      <c r="N66" s="949"/>
      <c r="O66" s="949"/>
      <c r="P66" s="949"/>
      <c r="Q66" s="949"/>
      <c r="R66" s="949"/>
      <c r="S66" s="949"/>
      <c r="T66" s="949"/>
      <c r="U66" s="949"/>
      <c r="V66" s="949"/>
      <c r="W66" s="949"/>
      <c r="X66" s="949"/>
    </row>
    <row r="67" spans="1:24" ht="26.25" customHeight="1">
      <c r="A67" s="1084"/>
      <c r="B67" s="974"/>
      <c r="C67" s="975" t="s">
        <v>1191</v>
      </c>
      <c r="D67" s="1181">
        <v>12</v>
      </c>
      <c r="E67" s="1026" t="s">
        <v>1246</v>
      </c>
      <c r="F67" s="949"/>
      <c r="G67" s="949"/>
      <c r="H67" s="949"/>
      <c r="I67" s="949"/>
      <c r="J67" s="949"/>
      <c r="K67" s="949"/>
      <c r="L67" s="949"/>
      <c r="M67" s="949"/>
      <c r="N67" s="949"/>
      <c r="O67" s="949"/>
      <c r="P67" s="949"/>
      <c r="Q67" s="949"/>
      <c r="R67" s="949"/>
      <c r="S67" s="949"/>
      <c r="T67" s="949"/>
      <c r="U67" s="949"/>
      <c r="V67" s="949"/>
      <c r="W67" s="949"/>
      <c r="X67" s="949"/>
    </row>
    <row r="68" spans="1:24" ht="24.75">
      <c r="A68" s="1084"/>
      <c r="B68" s="980" t="s">
        <v>1247</v>
      </c>
      <c r="C68" s="975"/>
      <c r="D68" s="1102" t="s">
        <v>177</v>
      </c>
      <c r="E68" s="918" t="s">
        <v>190</v>
      </c>
      <c r="F68" s="949"/>
      <c r="G68" s="949"/>
      <c r="H68" s="949"/>
      <c r="I68" s="949"/>
      <c r="J68" s="949"/>
      <c r="K68" s="949"/>
      <c r="L68" s="949"/>
      <c r="M68" s="949"/>
      <c r="N68" s="949"/>
      <c r="O68" s="949"/>
      <c r="P68" s="949"/>
      <c r="Q68" s="949"/>
      <c r="R68" s="949"/>
      <c r="S68" s="949"/>
      <c r="T68" s="949"/>
      <c r="U68" s="949"/>
      <c r="V68" s="949"/>
      <c r="W68" s="949"/>
      <c r="X68" s="949"/>
    </row>
    <row r="69" spans="1:24" ht="24.75">
      <c r="A69" s="1084"/>
      <c r="B69" s="980" t="s">
        <v>191</v>
      </c>
      <c r="C69" s="975"/>
      <c r="D69" s="1102"/>
      <c r="E69" s="918" t="s">
        <v>1022</v>
      </c>
      <c r="F69" s="949"/>
      <c r="G69" s="949"/>
      <c r="H69" s="949"/>
      <c r="I69" s="949"/>
      <c r="J69" s="949"/>
      <c r="K69" s="949"/>
      <c r="L69" s="949"/>
      <c r="M69" s="949"/>
      <c r="N69" s="949"/>
      <c r="O69" s="949"/>
      <c r="P69" s="949"/>
      <c r="Q69" s="949"/>
      <c r="R69" s="949"/>
      <c r="S69" s="949"/>
      <c r="T69" s="949"/>
      <c r="U69" s="949"/>
      <c r="V69" s="949"/>
      <c r="W69" s="949"/>
      <c r="X69" s="949"/>
    </row>
    <row r="70" spans="1:24" ht="24.75">
      <c r="A70" s="1103"/>
      <c r="B70" s="1104" t="s">
        <v>1017</v>
      </c>
      <c r="C70" s="1105"/>
      <c r="D70" s="1106" t="s">
        <v>192</v>
      </c>
      <c r="E70" s="922"/>
      <c r="F70" s="949"/>
      <c r="G70" s="949"/>
      <c r="H70" s="949"/>
      <c r="I70" s="949"/>
      <c r="J70" s="949"/>
      <c r="K70" s="949"/>
      <c r="L70" s="949"/>
      <c r="M70" s="949"/>
      <c r="N70" s="949"/>
      <c r="O70" s="949"/>
      <c r="P70" s="949"/>
      <c r="Q70" s="949"/>
      <c r="R70" s="949"/>
      <c r="S70" s="949"/>
      <c r="T70" s="949"/>
      <c r="U70" s="949"/>
      <c r="V70" s="949"/>
      <c r="W70" s="949"/>
      <c r="X70" s="949"/>
    </row>
    <row r="71" spans="1:24" ht="24.75">
      <c r="A71" s="1084"/>
      <c r="B71" s="1033"/>
      <c r="C71" s="1033"/>
      <c r="D71" s="1107"/>
      <c r="E71" s="1044"/>
      <c r="F71" s="949"/>
      <c r="G71" s="949"/>
      <c r="H71" s="949"/>
      <c r="I71" s="949"/>
      <c r="J71" s="949"/>
      <c r="K71" s="949"/>
      <c r="L71" s="949"/>
      <c r="M71" s="949"/>
      <c r="N71" s="949"/>
      <c r="O71" s="949"/>
      <c r="P71" s="949"/>
      <c r="Q71" s="949"/>
      <c r="R71" s="949"/>
      <c r="S71" s="949"/>
      <c r="T71" s="949"/>
      <c r="U71" s="949"/>
      <c r="V71" s="949"/>
      <c r="W71" s="949"/>
      <c r="X71" s="949"/>
    </row>
    <row r="72" spans="1:24" ht="18" customHeight="1">
      <c r="A72" s="1084"/>
      <c r="B72" s="1033"/>
      <c r="C72" s="1033"/>
      <c r="D72" s="1107"/>
      <c r="E72" s="1044"/>
      <c r="F72" s="949"/>
      <c r="G72" s="949"/>
      <c r="H72" s="949"/>
      <c r="I72" s="949"/>
      <c r="J72" s="949"/>
      <c r="K72" s="949"/>
      <c r="L72" s="949"/>
      <c r="M72" s="949"/>
      <c r="N72" s="949"/>
      <c r="O72" s="949"/>
      <c r="P72" s="949"/>
      <c r="Q72" s="949"/>
      <c r="R72" s="949"/>
      <c r="S72" s="949"/>
      <c r="T72" s="949"/>
      <c r="U72" s="949"/>
      <c r="V72" s="949"/>
      <c r="W72" s="949"/>
      <c r="X72" s="949"/>
    </row>
    <row r="73" spans="1:24" ht="22.5" customHeight="1">
      <c r="A73" s="977" t="s">
        <v>453</v>
      </c>
      <c r="B73" s="1055"/>
      <c r="C73" s="1033"/>
      <c r="D73" s="1107"/>
      <c r="E73" s="905"/>
      <c r="F73" s="949"/>
      <c r="G73" s="949"/>
      <c r="H73" s="949"/>
      <c r="I73" s="949"/>
      <c r="J73" s="949"/>
      <c r="K73" s="949"/>
      <c r="L73" s="949"/>
      <c r="M73" s="949"/>
      <c r="N73" s="949"/>
      <c r="O73" s="949"/>
      <c r="P73" s="949"/>
      <c r="Q73" s="949"/>
      <c r="R73" s="949"/>
      <c r="S73" s="949"/>
      <c r="T73" s="949"/>
      <c r="U73" s="949"/>
      <c r="V73" s="949"/>
      <c r="W73" s="949"/>
      <c r="X73" s="949"/>
    </row>
    <row r="74" spans="1:24" ht="24.75">
      <c r="A74" s="977" t="s">
        <v>193</v>
      </c>
      <c r="B74" s="1108" t="s">
        <v>1014</v>
      </c>
      <c r="C74" s="974" t="s">
        <v>149</v>
      </c>
      <c r="D74" s="1089"/>
      <c r="E74" s="903"/>
      <c r="F74" s="949"/>
      <c r="G74" s="949"/>
      <c r="H74" s="949"/>
      <c r="I74" s="949"/>
      <c r="J74" s="949"/>
      <c r="K74" s="949"/>
      <c r="L74" s="949"/>
      <c r="M74" s="949"/>
      <c r="N74" s="949"/>
      <c r="O74" s="949"/>
      <c r="P74" s="949"/>
      <c r="Q74" s="949"/>
      <c r="R74" s="949"/>
      <c r="S74" s="949"/>
      <c r="T74" s="949"/>
      <c r="U74" s="949"/>
      <c r="V74" s="949"/>
      <c r="W74" s="949"/>
      <c r="X74" s="949"/>
    </row>
    <row r="75" spans="1:24" ht="22.5" customHeight="1">
      <c r="A75" s="977" t="s">
        <v>1023</v>
      </c>
      <c r="B75" s="1055"/>
      <c r="C75" s="1033"/>
      <c r="D75" s="1107"/>
      <c r="E75" s="905"/>
      <c r="F75" s="949"/>
      <c r="G75" s="949"/>
      <c r="H75" s="949"/>
      <c r="I75" s="949"/>
      <c r="J75" s="949"/>
      <c r="K75" s="949"/>
      <c r="L75" s="949"/>
      <c r="M75" s="949"/>
      <c r="N75" s="949"/>
      <c r="O75" s="949"/>
      <c r="P75" s="949"/>
      <c r="Q75" s="949"/>
      <c r="R75" s="949"/>
      <c r="S75" s="949"/>
      <c r="T75" s="949"/>
      <c r="U75" s="949"/>
      <c r="V75" s="949"/>
      <c r="W75" s="949"/>
      <c r="X75" s="949"/>
    </row>
    <row r="76" spans="1:24" ht="24.75">
      <c r="A76" s="977" t="s">
        <v>1024</v>
      </c>
      <c r="B76" s="1055"/>
      <c r="C76" s="1033"/>
      <c r="D76" s="1107"/>
      <c r="E76" s="905"/>
      <c r="F76" s="949"/>
      <c r="G76" s="949"/>
      <c r="H76" s="949"/>
      <c r="I76" s="949"/>
      <c r="J76" s="949"/>
      <c r="K76" s="949"/>
      <c r="L76" s="949"/>
      <c r="M76" s="949"/>
      <c r="N76" s="949"/>
      <c r="O76" s="949"/>
      <c r="P76" s="949"/>
      <c r="Q76" s="949"/>
      <c r="R76" s="949"/>
      <c r="S76" s="949"/>
      <c r="T76" s="949"/>
      <c r="U76" s="949"/>
      <c r="V76" s="949"/>
      <c r="W76" s="949"/>
      <c r="X76" s="949"/>
    </row>
    <row r="77" spans="1:24" ht="47.25" customHeight="1">
      <c r="A77" s="1426" t="s">
        <v>1025</v>
      </c>
      <c r="B77" s="1427"/>
      <c r="C77" s="1427"/>
      <c r="D77" s="1427"/>
      <c r="E77" s="1428"/>
      <c r="F77" s="949"/>
      <c r="G77" s="949"/>
      <c r="H77" s="949"/>
      <c r="I77" s="949"/>
      <c r="J77" s="949"/>
      <c r="K77" s="949"/>
      <c r="L77" s="949"/>
      <c r="M77" s="949"/>
      <c r="N77" s="949"/>
      <c r="O77" s="949"/>
      <c r="P77" s="949"/>
      <c r="Q77" s="949"/>
      <c r="R77" s="949"/>
      <c r="S77" s="949"/>
      <c r="T77" s="949"/>
      <c r="U77" s="949"/>
      <c r="V77" s="949"/>
      <c r="W77" s="949"/>
      <c r="X77" s="949"/>
    </row>
    <row r="78" spans="1:24" ht="25.5" customHeight="1">
      <c r="A78" s="1426" t="s">
        <v>1026</v>
      </c>
      <c r="B78" s="1427"/>
      <c r="C78" s="1427"/>
      <c r="D78" s="1427"/>
      <c r="E78" s="1428"/>
      <c r="F78" s="949"/>
      <c r="G78" s="949"/>
      <c r="H78" s="949"/>
      <c r="I78" s="949"/>
      <c r="J78" s="949"/>
      <c r="K78" s="949"/>
      <c r="L78" s="949"/>
      <c r="M78" s="949"/>
      <c r="N78" s="949"/>
      <c r="O78" s="949"/>
      <c r="P78" s="949"/>
      <c r="Q78" s="949"/>
      <c r="R78" s="949"/>
      <c r="S78" s="949"/>
      <c r="T78" s="949"/>
      <c r="U78" s="949"/>
      <c r="V78" s="949"/>
      <c r="W78" s="949"/>
      <c r="X78" s="949"/>
    </row>
    <row r="79" spans="1:24" ht="24.75">
      <c r="A79" s="1109" t="s">
        <v>1027</v>
      </c>
      <c r="B79" s="1104"/>
      <c r="C79" s="1104"/>
      <c r="D79" s="1110"/>
      <c r="E79" s="1111"/>
      <c r="F79" s="949"/>
      <c r="G79" s="949"/>
      <c r="H79" s="949"/>
      <c r="I79" s="949"/>
      <c r="J79" s="949"/>
      <c r="K79" s="949"/>
      <c r="L79" s="949"/>
      <c r="M79" s="949"/>
      <c r="N79" s="949"/>
      <c r="O79" s="949"/>
      <c r="P79" s="949"/>
      <c r="Q79" s="949"/>
      <c r="R79" s="949"/>
      <c r="S79" s="949"/>
      <c r="T79" s="949"/>
      <c r="U79" s="949"/>
      <c r="V79" s="949"/>
      <c r="W79" s="949"/>
      <c r="X79" s="949"/>
    </row>
    <row r="80" spans="1:24" ht="24.75">
      <c r="A80" s="1107"/>
      <c r="B80" s="1055"/>
      <c r="C80" s="1033"/>
      <c r="D80" s="1107"/>
      <c r="E80" s="949"/>
      <c r="F80" s="949"/>
      <c r="G80" s="949"/>
      <c r="H80" s="949"/>
      <c r="I80" s="949"/>
      <c r="J80" s="949"/>
      <c r="K80" s="949"/>
      <c r="L80" s="949"/>
      <c r="M80" s="949"/>
      <c r="N80" s="949"/>
      <c r="O80" s="949"/>
      <c r="P80" s="949"/>
      <c r="Q80" s="949"/>
      <c r="R80" s="949"/>
      <c r="S80" s="949"/>
      <c r="T80" s="949"/>
      <c r="U80" s="949"/>
      <c r="V80" s="949"/>
      <c r="W80" s="949"/>
      <c r="X80" s="949"/>
    </row>
    <row r="81" spans="1:24" ht="24.75">
      <c r="A81" s="1107"/>
      <c r="B81" s="1055"/>
      <c r="C81" s="1033"/>
      <c r="D81" s="1107"/>
      <c r="E81" s="949"/>
      <c r="F81" s="949"/>
      <c r="G81" s="949"/>
      <c r="H81" s="949"/>
      <c r="I81" s="949"/>
      <c r="J81" s="949"/>
      <c r="K81" s="949"/>
      <c r="L81" s="949"/>
      <c r="M81" s="949"/>
      <c r="N81" s="949"/>
      <c r="O81" s="949"/>
      <c r="P81" s="949"/>
      <c r="Q81" s="949"/>
      <c r="R81" s="949"/>
      <c r="S81" s="949"/>
      <c r="T81" s="949"/>
      <c r="U81" s="949"/>
      <c r="V81" s="949"/>
      <c r="W81" s="949"/>
      <c r="X81" s="949"/>
    </row>
    <row r="82" spans="1:24" ht="24.75">
      <c r="A82" s="1107"/>
      <c r="B82" s="1055"/>
      <c r="C82" s="1033"/>
      <c r="D82" s="1107"/>
      <c r="E82" s="949"/>
      <c r="F82" s="949"/>
      <c r="G82" s="949"/>
      <c r="H82" s="949"/>
      <c r="I82" s="949"/>
      <c r="J82" s="949"/>
      <c r="K82" s="949"/>
      <c r="L82" s="949"/>
      <c r="M82" s="949"/>
      <c r="N82" s="949"/>
      <c r="O82" s="949"/>
      <c r="P82" s="949"/>
      <c r="Q82" s="949"/>
      <c r="R82" s="949"/>
      <c r="S82" s="949"/>
      <c r="T82" s="949"/>
      <c r="U82" s="949"/>
      <c r="V82" s="949"/>
      <c r="W82" s="949"/>
      <c r="X82" s="949"/>
    </row>
    <row r="83" spans="1:24" ht="24.75">
      <c r="A83" s="1107"/>
      <c r="B83" s="1055"/>
      <c r="C83" s="1033"/>
      <c r="D83" s="1107"/>
      <c r="E83" s="949"/>
      <c r="F83" s="949"/>
      <c r="G83" s="949"/>
      <c r="H83" s="949"/>
      <c r="I83" s="949"/>
      <c r="J83" s="949"/>
      <c r="K83" s="949"/>
      <c r="L83" s="949"/>
      <c r="M83" s="949"/>
      <c r="N83" s="949"/>
      <c r="O83" s="949"/>
      <c r="P83" s="949"/>
      <c r="Q83" s="949"/>
      <c r="R83" s="949"/>
      <c r="S83" s="949"/>
      <c r="T83" s="949"/>
      <c r="U83" s="949"/>
      <c r="V83" s="949"/>
      <c r="W83" s="949"/>
      <c r="X83" s="949"/>
    </row>
    <row r="84" spans="1:24" ht="24.75">
      <c r="A84" s="1107"/>
      <c r="B84" s="1055"/>
      <c r="C84" s="1033"/>
      <c r="D84" s="1107"/>
      <c r="E84" s="949"/>
      <c r="F84" s="949"/>
      <c r="G84" s="949"/>
      <c r="H84" s="949"/>
      <c r="I84" s="949"/>
      <c r="J84" s="949"/>
      <c r="K84" s="949"/>
      <c r="L84" s="949"/>
      <c r="M84" s="949"/>
      <c r="N84" s="949"/>
      <c r="O84" s="949"/>
      <c r="P84" s="949"/>
      <c r="Q84" s="949"/>
      <c r="R84" s="949"/>
      <c r="S84" s="949"/>
      <c r="T84" s="949"/>
      <c r="U84" s="949"/>
      <c r="V84" s="949"/>
      <c r="W84" s="949"/>
      <c r="X84" s="949"/>
    </row>
    <row r="85" spans="1:24" ht="24.75">
      <c r="A85" s="1107"/>
      <c r="B85" s="1055"/>
      <c r="C85" s="1033"/>
      <c r="D85" s="1107"/>
      <c r="E85" s="949"/>
      <c r="F85" s="949"/>
      <c r="G85" s="949"/>
      <c r="H85" s="949"/>
      <c r="I85" s="949"/>
      <c r="J85" s="949"/>
      <c r="K85" s="949"/>
      <c r="L85" s="949"/>
      <c r="M85" s="949"/>
      <c r="N85" s="949"/>
      <c r="O85" s="949"/>
      <c r="P85" s="949"/>
      <c r="Q85" s="949"/>
      <c r="R85" s="949"/>
      <c r="S85" s="949"/>
      <c r="T85" s="949"/>
      <c r="U85" s="949"/>
      <c r="V85" s="949"/>
      <c r="W85" s="949"/>
      <c r="X85" s="949"/>
    </row>
    <row r="86" spans="1:24" ht="24.75">
      <c r="A86" s="1107"/>
      <c r="B86" s="1112"/>
      <c r="C86" s="1033"/>
      <c r="D86" s="1107"/>
      <c r="E86" s="949"/>
      <c r="F86" s="949"/>
      <c r="G86" s="949"/>
      <c r="H86" s="949"/>
      <c r="I86" s="949"/>
      <c r="J86" s="949"/>
      <c r="K86" s="949"/>
      <c r="L86" s="949"/>
      <c r="M86" s="949"/>
      <c r="N86" s="949"/>
      <c r="O86" s="949"/>
      <c r="P86" s="949"/>
      <c r="Q86" s="949"/>
      <c r="R86" s="949"/>
      <c r="S86" s="949"/>
      <c r="T86" s="949"/>
      <c r="U86" s="949"/>
      <c r="V86" s="949"/>
      <c r="W86" s="949"/>
      <c r="X86" s="949"/>
    </row>
    <row r="87" spans="1:24" ht="24.75">
      <c r="A87" s="1107"/>
      <c r="B87" s="1112"/>
      <c r="C87" s="1033"/>
      <c r="D87" s="1107"/>
      <c r="E87" s="949"/>
      <c r="F87" s="949"/>
      <c r="G87" s="949"/>
      <c r="H87" s="949"/>
      <c r="I87" s="949"/>
      <c r="J87" s="949"/>
      <c r="K87" s="949"/>
      <c r="L87" s="949"/>
      <c r="M87" s="949"/>
      <c r="N87" s="949"/>
      <c r="O87" s="949"/>
      <c r="P87" s="949"/>
      <c r="Q87" s="949"/>
      <c r="R87" s="949"/>
      <c r="S87" s="949"/>
      <c r="T87" s="949"/>
      <c r="U87" s="949"/>
      <c r="V87" s="949"/>
      <c r="W87" s="949"/>
      <c r="X87" s="949"/>
    </row>
    <row r="88" spans="1:24" ht="24.75">
      <c r="A88" s="1107"/>
      <c r="B88" s="1112"/>
      <c r="C88" s="1033"/>
      <c r="D88" s="1107"/>
      <c r="E88" s="949"/>
      <c r="F88" s="949"/>
      <c r="G88" s="949"/>
      <c r="H88" s="949"/>
      <c r="I88" s="949"/>
      <c r="J88" s="949"/>
      <c r="K88" s="949"/>
      <c r="L88" s="949"/>
      <c r="M88" s="949"/>
      <c r="N88" s="949"/>
      <c r="O88" s="949"/>
      <c r="P88" s="949"/>
      <c r="Q88" s="949"/>
      <c r="R88" s="949"/>
      <c r="S88" s="949"/>
      <c r="T88" s="949"/>
      <c r="U88" s="949"/>
      <c r="V88" s="949"/>
      <c r="W88" s="949"/>
      <c r="X88" s="949"/>
    </row>
    <row r="89" spans="1:24" ht="24.75">
      <c r="A89" s="1107"/>
      <c r="B89" s="1055"/>
      <c r="C89" s="1033"/>
      <c r="D89" s="1107"/>
      <c r="E89" s="949"/>
      <c r="F89" s="949"/>
      <c r="G89" s="949"/>
      <c r="H89" s="949"/>
      <c r="I89" s="949"/>
      <c r="J89" s="949"/>
      <c r="K89" s="949"/>
      <c r="L89" s="949"/>
      <c r="M89" s="949"/>
      <c r="N89" s="949"/>
      <c r="O89" s="949"/>
      <c r="P89" s="949"/>
      <c r="Q89" s="949"/>
      <c r="R89" s="949"/>
      <c r="S89" s="949"/>
      <c r="T89" s="949"/>
      <c r="U89" s="949"/>
      <c r="V89" s="949"/>
      <c r="W89" s="949"/>
      <c r="X89" s="949"/>
    </row>
    <row r="90" spans="1:24" ht="24.75">
      <c r="A90" s="1107"/>
      <c r="B90" s="1055"/>
      <c r="C90" s="1033"/>
      <c r="D90" s="1107"/>
      <c r="E90" s="949"/>
      <c r="F90" s="949"/>
      <c r="G90" s="949"/>
      <c r="H90" s="949"/>
      <c r="I90" s="949"/>
      <c r="J90" s="949"/>
      <c r="K90" s="949"/>
      <c r="L90" s="949"/>
      <c r="M90" s="949"/>
      <c r="N90" s="949"/>
      <c r="O90" s="949"/>
      <c r="P90" s="949"/>
      <c r="Q90" s="949"/>
      <c r="R90" s="949"/>
      <c r="S90" s="949"/>
      <c r="T90" s="949"/>
      <c r="U90" s="949"/>
      <c r="V90" s="949"/>
      <c r="W90" s="949"/>
      <c r="X90" s="949"/>
    </row>
    <row r="91" spans="1:24" ht="24.75">
      <c r="A91" s="1033"/>
      <c r="B91" s="1055"/>
      <c r="C91" s="1033"/>
      <c r="D91" s="1107"/>
      <c r="E91" s="949"/>
      <c r="F91" s="949"/>
      <c r="G91" s="949"/>
      <c r="H91" s="949"/>
      <c r="I91" s="949"/>
      <c r="J91" s="949"/>
      <c r="K91" s="949"/>
      <c r="L91" s="949"/>
      <c r="M91" s="949"/>
      <c r="N91" s="949"/>
      <c r="O91" s="949"/>
      <c r="P91" s="949"/>
      <c r="Q91" s="949"/>
      <c r="R91" s="949"/>
      <c r="S91" s="949"/>
      <c r="T91" s="949"/>
      <c r="U91" s="949"/>
      <c r="V91" s="949"/>
      <c r="W91" s="949"/>
      <c r="X91" s="949"/>
    </row>
    <row r="92" spans="1:24" ht="24.75">
      <c r="A92" s="1033"/>
      <c r="B92" s="1055"/>
      <c r="C92" s="1033"/>
      <c r="D92" s="1107"/>
      <c r="E92" s="949"/>
      <c r="F92" s="949"/>
      <c r="G92" s="949"/>
      <c r="H92" s="949"/>
      <c r="I92" s="949"/>
      <c r="J92" s="949"/>
      <c r="K92" s="949"/>
      <c r="L92" s="949"/>
      <c r="M92" s="949"/>
      <c r="N92" s="949"/>
      <c r="O92" s="949"/>
      <c r="P92" s="949"/>
      <c r="Q92" s="949"/>
      <c r="R92" s="949"/>
      <c r="S92" s="949"/>
      <c r="T92" s="949"/>
      <c r="U92" s="949"/>
      <c r="V92" s="949"/>
      <c r="W92" s="949"/>
      <c r="X92" s="949"/>
    </row>
    <row r="93" spans="1:24" ht="24.75">
      <c r="A93" s="1033"/>
      <c r="B93" s="1055"/>
      <c r="C93" s="1033"/>
      <c r="D93" s="1107"/>
      <c r="E93" s="949"/>
      <c r="F93" s="949"/>
      <c r="G93" s="949"/>
      <c r="H93" s="949"/>
      <c r="I93" s="949"/>
      <c r="J93" s="949"/>
      <c r="K93" s="949"/>
      <c r="L93" s="949"/>
      <c r="M93" s="949"/>
      <c r="N93" s="949"/>
      <c r="O93" s="949"/>
      <c r="P93" s="949"/>
      <c r="Q93" s="949"/>
      <c r="R93" s="949"/>
      <c r="S93" s="949"/>
      <c r="T93" s="949"/>
      <c r="U93" s="949"/>
      <c r="V93" s="949"/>
      <c r="W93" s="949"/>
      <c r="X93" s="949"/>
    </row>
    <row r="94" spans="1:24" ht="24.75">
      <c r="A94" s="1055"/>
      <c r="B94" s="1055"/>
      <c r="C94" s="1033"/>
      <c r="D94" s="1107"/>
      <c r="E94" s="949"/>
      <c r="F94" s="949"/>
      <c r="G94" s="949"/>
      <c r="H94" s="949"/>
      <c r="I94" s="949"/>
      <c r="J94" s="949"/>
      <c r="K94" s="949"/>
      <c r="L94" s="949"/>
      <c r="M94" s="949"/>
      <c r="N94" s="949"/>
      <c r="O94" s="949"/>
      <c r="P94" s="949"/>
      <c r="Q94" s="949"/>
      <c r="R94" s="949"/>
      <c r="S94" s="949"/>
      <c r="T94" s="949"/>
      <c r="U94" s="949"/>
      <c r="V94" s="949"/>
      <c r="W94" s="949"/>
      <c r="X94" s="949"/>
    </row>
    <row r="95" spans="1:24" ht="24.75">
      <c r="A95" s="1055"/>
      <c r="B95" s="1033"/>
      <c r="C95" s="1033"/>
      <c r="D95" s="1107"/>
      <c r="E95" s="949"/>
      <c r="F95" s="949"/>
      <c r="G95" s="949"/>
      <c r="H95" s="949"/>
      <c r="I95" s="949"/>
      <c r="J95" s="949"/>
      <c r="K95" s="949"/>
      <c r="L95" s="949"/>
      <c r="M95" s="949"/>
      <c r="N95" s="949"/>
      <c r="O95" s="949"/>
      <c r="P95" s="949"/>
      <c r="Q95" s="949"/>
      <c r="R95" s="949"/>
      <c r="S95" s="949"/>
      <c r="T95" s="949"/>
      <c r="U95" s="949"/>
      <c r="V95" s="949"/>
      <c r="W95" s="949"/>
      <c r="X95" s="949"/>
    </row>
    <row r="96" spans="1:24" ht="24.75">
      <c r="A96" s="1055"/>
      <c r="B96" s="1033"/>
      <c r="C96" s="1033"/>
      <c r="D96" s="1107"/>
      <c r="E96" s="949"/>
      <c r="F96" s="949"/>
      <c r="G96" s="949"/>
      <c r="H96" s="949"/>
      <c r="I96" s="949"/>
      <c r="J96" s="949"/>
      <c r="K96" s="949"/>
      <c r="L96" s="949"/>
      <c r="M96" s="949"/>
      <c r="N96" s="949"/>
      <c r="O96" s="949"/>
      <c r="P96" s="949"/>
      <c r="Q96" s="949"/>
      <c r="R96" s="949"/>
      <c r="S96" s="949"/>
      <c r="T96" s="949"/>
      <c r="U96" s="949"/>
      <c r="V96" s="949"/>
      <c r="W96" s="949"/>
      <c r="X96" s="949"/>
    </row>
    <row r="97" spans="1:24" ht="24.75">
      <c r="A97" s="1113"/>
      <c r="B97" s="1033"/>
      <c r="C97" s="1033"/>
      <c r="D97" s="1107"/>
      <c r="E97" s="949"/>
      <c r="F97" s="949"/>
      <c r="G97" s="949"/>
      <c r="H97" s="949"/>
      <c r="I97" s="949"/>
      <c r="J97" s="949"/>
      <c r="K97" s="949"/>
      <c r="L97" s="949"/>
      <c r="M97" s="949"/>
      <c r="N97" s="949"/>
      <c r="O97" s="949"/>
      <c r="P97" s="949"/>
      <c r="Q97" s="949"/>
      <c r="R97" s="949"/>
      <c r="S97" s="949"/>
      <c r="T97" s="949"/>
      <c r="U97" s="949"/>
      <c r="V97" s="949"/>
      <c r="W97" s="949"/>
      <c r="X97" s="949"/>
    </row>
    <row r="98" spans="1:24" ht="24.75">
      <c r="A98" s="1113"/>
      <c r="B98" s="1114"/>
      <c r="C98" s="1033"/>
      <c r="D98" s="1115"/>
      <c r="E98" s="949"/>
      <c r="F98" s="949"/>
      <c r="G98" s="949"/>
      <c r="H98" s="949"/>
      <c r="I98" s="949"/>
      <c r="J98" s="949"/>
      <c r="K98" s="949"/>
      <c r="L98" s="949"/>
      <c r="M98" s="949"/>
      <c r="N98" s="949"/>
      <c r="O98" s="949"/>
      <c r="P98" s="949"/>
      <c r="Q98" s="949"/>
      <c r="R98" s="949"/>
      <c r="S98" s="949"/>
      <c r="T98" s="949"/>
      <c r="U98" s="949"/>
      <c r="V98" s="949"/>
      <c r="W98" s="949"/>
      <c r="X98" s="949"/>
    </row>
    <row r="99" spans="1:24" ht="24.75">
      <c r="A99" s="1113"/>
      <c r="B99" s="1114"/>
      <c r="C99" s="1033"/>
      <c r="D99" s="1115"/>
      <c r="E99" s="949"/>
      <c r="F99" s="949"/>
      <c r="G99" s="949"/>
      <c r="H99" s="949"/>
      <c r="I99" s="949"/>
      <c r="J99" s="949"/>
      <c r="K99" s="949"/>
      <c r="L99" s="949"/>
      <c r="M99" s="949"/>
      <c r="N99" s="949"/>
      <c r="O99" s="949"/>
      <c r="P99" s="949"/>
      <c r="Q99" s="949"/>
      <c r="R99" s="949"/>
      <c r="S99" s="949"/>
      <c r="T99" s="949"/>
      <c r="U99" s="949"/>
      <c r="V99" s="949"/>
      <c r="W99" s="949"/>
      <c r="X99" s="949"/>
    </row>
    <row r="100" spans="1:24" ht="24.75">
      <c r="B100" s="1114"/>
      <c r="C100" s="1033"/>
      <c r="D100" s="1115"/>
      <c r="E100" s="949"/>
      <c r="F100" s="949"/>
      <c r="G100" s="949"/>
      <c r="H100" s="949"/>
      <c r="I100" s="949"/>
      <c r="J100" s="949"/>
      <c r="K100" s="949"/>
      <c r="L100" s="949"/>
      <c r="M100" s="949"/>
      <c r="N100" s="949"/>
      <c r="O100" s="949"/>
      <c r="P100" s="949"/>
      <c r="Q100" s="949"/>
      <c r="R100" s="949"/>
      <c r="S100" s="949"/>
      <c r="T100" s="949"/>
      <c r="U100" s="949"/>
      <c r="V100" s="949"/>
      <c r="W100" s="949"/>
      <c r="X100" s="949"/>
    </row>
    <row r="101" spans="1:24">
      <c r="E101" s="949"/>
      <c r="F101" s="949"/>
      <c r="G101" s="949"/>
      <c r="H101" s="949"/>
      <c r="I101" s="949"/>
      <c r="J101" s="949"/>
      <c r="K101" s="949"/>
      <c r="L101" s="949"/>
      <c r="M101" s="949"/>
      <c r="N101" s="949"/>
      <c r="O101" s="949"/>
      <c r="P101" s="949"/>
      <c r="Q101" s="949"/>
      <c r="R101" s="949"/>
      <c r="S101" s="949"/>
      <c r="T101" s="949"/>
      <c r="U101" s="949"/>
      <c r="V101" s="949"/>
      <c r="W101" s="949"/>
      <c r="X101" s="949"/>
    </row>
    <row r="102" spans="1:24">
      <c r="E102" s="949"/>
      <c r="F102" s="949"/>
      <c r="G102" s="949"/>
      <c r="H102" s="949"/>
      <c r="I102" s="949"/>
      <c r="J102" s="949"/>
      <c r="K102" s="949"/>
      <c r="L102" s="949"/>
      <c r="M102" s="949"/>
      <c r="N102" s="949"/>
      <c r="O102" s="949"/>
      <c r="P102" s="949"/>
      <c r="Q102" s="949"/>
      <c r="R102" s="949"/>
      <c r="S102" s="949"/>
      <c r="T102" s="949"/>
      <c r="U102" s="949"/>
      <c r="V102" s="949"/>
      <c r="W102" s="949"/>
      <c r="X102" s="949"/>
    </row>
    <row r="103" spans="1:24">
      <c r="E103" s="949"/>
      <c r="F103" s="949"/>
      <c r="G103" s="949"/>
      <c r="H103" s="949"/>
      <c r="I103" s="949"/>
      <c r="J103" s="949"/>
      <c r="K103" s="949"/>
      <c r="L103" s="949"/>
      <c r="M103" s="949"/>
      <c r="N103" s="949"/>
      <c r="O103" s="949"/>
      <c r="P103" s="949"/>
      <c r="Q103" s="949"/>
      <c r="R103" s="949"/>
      <c r="S103" s="949"/>
      <c r="T103" s="949"/>
      <c r="U103" s="949"/>
      <c r="V103" s="949"/>
      <c r="W103" s="949"/>
      <c r="X103" s="949"/>
    </row>
    <row r="104" spans="1:24">
      <c r="E104" s="949"/>
      <c r="F104" s="949"/>
      <c r="G104" s="949"/>
      <c r="H104" s="949"/>
      <c r="I104" s="949"/>
      <c r="J104" s="949"/>
      <c r="K104" s="949"/>
      <c r="L104" s="949"/>
      <c r="M104" s="949"/>
      <c r="N104" s="949"/>
      <c r="O104" s="949"/>
      <c r="P104" s="949"/>
      <c r="Q104" s="949"/>
      <c r="R104" s="949"/>
      <c r="S104" s="949"/>
      <c r="T104" s="949"/>
      <c r="U104" s="949"/>
      <c r="V104" s="949"/>
      <c r="W104" s="949"/>
      <c r="X104" s="949"/>
    </row>
    <row r="105" spans="1:24">
      <c r="E105" s="949"/>
      <c r="F105" s="949"/>
      <c r="G105" s="949"/>
      <c r="H105" s="949"/>
      <c r="I105" s="949"/>
      <c r="J105" s="949"/>
      <c r="K105" s="949"/>
      <c r="L105" s="949"/>
      <c r="M105" s="949"/>
      <c r="N105" s="949"/>
      <c r="O105" s="949"/>
      <c r="P105" s="949"/>
      <c r="Q105" s="949"/>
      <c r="R105" s="949"/>
      <c r="S105" s="949"/>
      <c r="T105" s="949"/>
      <c r="U105" s="949"/>
      <c r="V105" s="949"/>
      <c r="W105" s="949"/>
      <c r="X105" s="949"/>
    </row>
    <row r="106" spans="1:24">
      <c r="E106" s="949"/>
      <c r="F106" s="949"/>
      <c r="G106" s="949"/>
      <c r="H106" s="949"/>
      <c r="I106" s="949"/>
      <c r="J106" s="949"/>
      <c r="K106" s="949"/>
      <c r="L106" s="949"/>
      <c r="M106" s="949"/>
      <c r="N106" s="949"/>
      <c r="O106" s="949"/>
      <c r="P106" s="949"/>
      <c r="Q106" s="949"/>
      <c r="R106" s="949"/>
      <c r="S106" s="949"/>
      <c r="T106" s="949"/>
      <c r="U106" s="949"/>
      <c r="V106" s="949"/>
      <c r="W106" s="949"/>
      <c r="X106" s="949"/>
    </row>
    <row r="107" spans="1:24">
      <c r="E107" s="949"/>
      <c r="F107" s="949"/>
      <c r="G107" s="949"/>
      <c r="H107" s="949"/>
      <c r="I107" s="949"/>
      <c r="J107" s="949"/>
      <c r="K107" s="949"/>
      <c r="L107" s="949"/>
      <c r="M107" s="949"/>
      <c r="N107" s="949"/>
      <c r="O107" s="949"/>
      <c r="P107" s="949"/>
      <c r="Q107" s="949"/>
      <c r="R107" s="949"/>
      <c r="S107" s="949"/>
      <c r="T107" s="949"/>
      <c r="U107" s="949"/>
      <c r="V107" s="949"/>
      <c r="W107" s="949"/>
      <c r="X107" s="949"/>
    </row>
    <row r="108" spans="1:24">
      <c r="E108" s="949"/>
      <c r="F108" s="949"/>
      <c r="G108" s="949"/>
      <c r="H108" s="949"/>
      <c r="I108" s="949"/>
      <c r="J108" s="949"/>
      <c r="K108" s="949"/>
      <c r="L108" s="949"/>
      <c r="M108" s="949"/>
      <c r="N108" s="949"/>
      <c r="O108" s="949"/>
      <c r="P108" s="949"/>
      <c r="Q108" s="949"/>
      <c r="R108" s="949"/>
      <c r="S108" s="949"/>
      <c r="T108" s="949"/>
      <c r="U108" s="949"/>
      <c r="V108" s="949"/>
      <c r="W108" s="949"/>
      <c r="X108" s="949"/>
    </row>
    <row r="109" spans="1:24">
      <c r="E109" s="949"/>
      <c r="F109" s="949"/>
      <c r="G109" s="949"/>
      <c r="H109" s="949"/>
      <c r="I109" s="949"/>
      <c r="J109" s="949"/>
      <c r="K109" s="949"/>
      <c r="L109" s="949"/>
      <c r="M109" s="949"/>
      <c r="N109" s="949"/>
      <c r="O109" s="949"/>
      <c r="P109" s="949"/>
      <c r="Q109" s="949"/>
      <c r="R109" s="949"/>
      <c r="S109" s="949"/>
      <c r="T109" s="949"/>
      <c r="U109" s="949"/>
      <c r="V109" s="949"/>
      <c r="W109" s="949"/>
      <c r="X109" s="949"/>
    </row>
    <row r="110" spans="1:24">
      <c r="E110" s="949"/>
      <c r="F110" s="949"/>
      <c r="G110" s="949"/>
      <c r="H110" s="949"/>
      <c r="I110" s="949"/>
      <c r="J110" s="949"/>
      <c r="K110" s="949"/>
      <c r="L110" s="949"/>
      <c r="M110" s="949"/>
      <c r="N110" s="949"/>
      <c r="O110" s="949"/>
      <c r="P110" s="949"/>
      <c r="Q110" s="949"/>
      <c r="R110" s="949"/>
      <c r="S110" s="949"/>
      <c r="T110" s="949"/>
      <c r="U110" s="949"/>
      <c r="V110" s="949"/>
      <c r="W110" s="949"/>
      <c r="X110" s="949"/>
    </row>
    <row r="111" spans="1:24">
      <c r="E111" s="949"/>
      <c r="F111" s="949"/>
      <c r="G111" s="949"/>
      <c r="H111" s="949"/>
      <c r="I111" s="949"/>
      <c r="J111" s="949"/>
      <c r="K111" s="949"/>
      <c r="L111" s="949"/>
      <c r="M111" s="949"/>
      <c r="N111" s="949"/>
      <c r="O111" s="949"/>
      <c r="P111" s="949"/>
      <c r="Q111" s="949"/>
      <c r="R111" s="949"/>
      <c r="S111" s="949"/>
      <c r="T111" s="949"/>
      <c r="U111" s="949"/>
      <c r="V111" s="949"/>
      <c r="W111" s="949"/>
      <c r="X111" s="949"/>
    </row>
    <row r="112" spans="1:24">
      <c r="E112" s="949"/>
      <c r="F112" s="949"/>
      <c r="G112" s="949"/>
      <c r="H112" s="949"/>
      <c r="I112" s="949"/>
      <c r="J112" s="949"/>
      <c r="K112" s="949"/>
      <c r="L112" s="949"/>
      <c r="M112" s="949"/>
      <c r="N112" s="949"/>
      <c r="O112" s="949"/>
      <c r="P112" s="949"/>
      <c r="Q112" s="949"/>
      <c r="R112" s="949"/>
      <c r="S112" s="949"/>
      <c r="T112" s="949"/>
      <c r="U112" s="949"/>
      <c r="V112" s="949"/>
      <c r="W112" s="949"/>
      <c r="X112" s="949"/>
    </row>
    <row r="113" spans="5:24">
      <c r="E113" s="949"/>
      <c r="F113" s="949"/>
      <c r="G113" s="949"/>
      <c r="H113" s="949"/>
      <c r="I113" s="949"/>
      <c r="J113" s="949"/>
      <c r="K113" s="949"/>
      <c r="L113" s="949"/>
      <c r="M113" s="949"/>
      <c r="N113" s="949"/>
      <c r="O113" s="949"/>
      <c r="P113" s="949"/>
      <c r="Q113" s="949"/>
      <c r="R113" s="949"/>
      <c r="S113" s="949"/>
      <c r="T113" s="949"/>
      <c r="U113" s="949"/>
      <c r="V113" s="949"/>
      <c r="W113" s="949"/>
      <c r="X113" s="949"/>
    </row>
    <row r="114" spans="5:24">
      <c r="E114" s="949"/>
      <c r="F114" s="949"/>
      <c r="G114" s="949"/>
      <c r="H114" s="949"/>
      <c r="I114" s="949"/>
      <c r="J114" s="949"/>
      <c r="K114" s="949"/>
      <c r="L114" s="949"/>
      <c r="M114" s="949"/>
      <c r="N114" s="949"/>
      <c r="O114" s="949"/>
      <c r="P114" s="949"/>
      <c r="Q114" s="949"/>
      <c r="R114" s="949"/>
      <c r="S114" s="949"/>
      <c r="T114" s="949"/>
      <c r="U114" s="949"/>
      <c r="V114" s="949"/>
      <c r="W114" s="949"/>
      <c r="X114" s="949"/>
    </row>
    <row r="115" spans="5:24">
      <c r="E115" s="949"/>
      <c r="F115" s="949"/>
      <c r="G115" s="949"/>
      <c r="H115" s="949"/>
      <c r="I115" s="949"/>
      <c r="J115" s="949"/>
      <c r="K115" s="949"/>
      <c r="L115" s="949"/>
      <c r="M115" s="949"/>
      <c r="N115" s="949"/>
      <c r="O115" s="949"/>
      <c r="P115" s="949"/>
      <c r="Q115" s="949"/>
      <c r="R115" s="949"/>
      <c r="S115" s="949"/>
      <c r="T115" s="949"/>
      <c r="U115" s="949"/>
      <c r="V115" s="949"/>
      <c r="W115" s="949"/>
      <c r="X115" s="949"/>
    </row>
    <row r="116" spans="5:24">
      <c r="E116" s="949"/>
      <c r="F116" s="949"/>
      <c r="G116" s="949"/>
      <c r="H116" s="949"/>
      <c r="I116" s="949"/>
      <c r="J116" s="949"/>
      <c r="K116" s="949"/>
      <c r="L116" s="949"/>
      <c r="M116" s="949"/>
      <c r="N116" s="949"/>
      <c r="O116" s="949"/>
      <c r="P116" s="949"/>
      <c r="Q116" s="949"/>
      <c r="R116" s="949"/>
      <c r="S116" s="949"/>
      <c r="T116" s="949"/>
      <c r="U116" s="949"/>
      <c r="V116" s="949"/>
      <c r="W116" s="949"/>
      <c r="X116" s="949"/>
    </row>
    <row r="117" spans="5:24">
      <c r="E117" s="949"/>
      <c r="F117" s="949"/>
      <c r="G117" s="949"/>
      <c r="H117" s="949"/>
      <c r="I117" s="949"/>
      <c r="J117" s="949"/>
      <c r="K117" s="949"/>
      <c r="L117" s="949"/>
      <c r="M117" s="949"/>
      <c r="N117" s="949"/>
      <c r="O117" s="949"/>
      <c r="P117" s="949"/>
      <c r="Q117" s="949"/>
      <c r="R117" s="949"/>
      <c r="S117" s="949"/>
      <c r="T117" s="949"/>
      <c r="U117" s="949"/>
      <c r="V117" s="949"/>
      <c r="W117" s="949"/>
      <c r="X117" s="949"/>
    </row>
    <row r="118" spans="5:24">
      <c r="E118" s="949"/>
      <c r="F118" s="949"/>
      <c r="G118" s="949"/>
      <c r="H118" s="949"/>
      <c r="I118" s="949"/>
      <c r="J118" s="949"/>
      <c r="K118" s="949"/>
      <c r="L118" s="949"/>
      <c r="M118" s="949"/>
      <c r="N118" s="949"/>
      <c r="O118" s="949"/>
      <c r="P118" s="949"/>
      <c r="Q118" s="949"/>
      <c r="R118" s="949"/>
      <c r="S118" s="949"/>
      <c r="T118" s="949"/>
      <c r="U118" s="949"/>
      <c r="V118" s="949"/>
      <c r="W118" s="949"/>
      <c r="X118" s="949"/>
    </row>
    <row r="119" spans="5:24">
      <c r="E119" s="949"/>
      <c r="F119" s="949"/>
      <c r="G119" s="949"/>
      <c r="H119" s="949"/>
      <c r="I119" s="949"/>
      <c r="J119" s="949"/>
      <c r="K119" s="949"/>
      <c r="L119" s="949"/>
      <c r="M119" s="949"/>
      <c r="N119" s="949"/>
      <c r="O119" s="949"/>
      <c r="P119" s="949"/>
      <c r="Q119" s="949"/>
      <c r="R119" s="949"/>
      <c r="S119" s="949"/>
      <c r="T119" s="949"/>
      <c r="U119" s="949"/>
      <c r="V119" s="949"/>
      <c r="W119" s="949"/>
      <c r="X119" s="949"/>
    </row>
    <row r="120" spans="5:24">
      <c r="E120" s="949"/>
      <c r="F120" s="949"/>
      <c r="G120" s="949"/>
      <c r="H120" s="949"/>
      <c r="I120" s="949"/>
      <c r="J120" s="949"/>
      <c r="K120" s="949"/>
      <c r="L120" s="949"/>
      <c r="M120" s="949"/>
      <c r="N120" s="949"/>
      <c r="O120" s="949"/>
      <c r="P120" s="949"/>
      <c r="Q120" s="949"/>
      <c r="R120" s="949"/>
      <c r="S120" s="949"/>
      <c r="T120" s="949"/>
      <c r="U120" s="949"/>
      <c r="V120" s="949"/>
      <c r="W120" s="949"/>
      <c r="X120" s="949"/>
    </row>
    <row r="121" spans="5:24">
      <c r="E121" s="949"/>
      <c r="F121" s="949"/>
      <c r="G121" s="949"/>
      <c r="H121" s="949"/>
      <c r="I121" s="949"/>
      <c r="J121" s="949"/>
      <c r="K121" s="949"/>
      <c r="L121" s="949"/>
      <c r="M121" s="949"/>
      <c r="N121" s="949"/>
      <c r="O121" s="949"/>
      <c r="P121" s="949"/>
      <c r="Q121" s="949"/>
      <c r="R121" s="949"/>
      <c r="S121" s="949"/>
      <c r="T121" s="949"/>
      <c r="U121" s="949"/>
      <c r="V121" s="949"/>
      <c r="W121" s="949"/>
      <c r="X121" s="949"/>
    </row>
    <row r="122" spans="5:24">
      <c r="E122" s="949"/>
      <c r="F122" s="949"/>
      <c r="G122" s="949"/>
      <c r="H122" s="949"/>
      <c r="I122" s="949"/>
      <c r="J122" s="949"/>
      <c r="K122" s="949"/>
      <c r="L122" s="949"/>
      <c r="M122" s="949"/>
      <c r="N122" s="949"/>
      <c r="O122" s="949"/>
      <c r="P122" s="949"/>
      <c r="Q122" s="949"/>
      <c r="R122" s="949"/>
      <c r="S122" s="949"/>
      <c r="T122" s="949"/>
      <c r="U122" s="949"/>
      <c r="V122" s="949"/>
      <c r="W122" s="949"/>
      <c r="X122" s="949"/>
    </row>
    <row r="123" spans="5:24">
      <c r="E123" s="949"/>
      <c r="F123" s="949"/>
      <c r="G123" s="949"/>
      <c r="H123" s="949"/>
      <c r="I123" s="949"/>
      <c r="J123" s="949"/>
      <c r="K123" s="949"/>
      <c r="L123" s="949"/>
      <c r="M123" s="949"/>
      <c r="N123" s="949"/>
      <c r="O123" s="949"/>
      <c r="P123" s="949"/>
      <c r="Q123" s="949"/>
      <c r="R123" s="949"/>
      <c r="S123" s="949"/>
      <c r="T123" s="949"/>
      <c r="U123" s="949"/>
      <c r="V123" s="949"/>
      <c r="W123" s="949"/>
      <c r="X123" s="949"/>
    </row>
    <row r="124" spans="5:24">
      <c r="E124" s="949"/>
      <c r="F124" s="949"/>
      <c r="G124" s="949"/>
      <c r="H124" s="949"/>
      <c r="I124" s="949"/>
      <c r="J124" s="949"/>
      <c r="K124" s="949"/>
      <c r="L124" s="949"/>
      <c r="M124" s="949"/>
      <c r="N124" s="949"/>
      <c r="O124" s="949"/>
      <c r="P124" s="949"/>
      <c r="Q124" s="949"/>
      <c r="R124" s="949"/>
      <c r="S124" s="949"/>
      <c r="T124" s="949"/>
      <c r="U124" s="949"/>
      <c r="V124" s="949"/>
      <c r="W124" s="949"/>
      <c r="X124" s="949"/>
    </row>
    <row r="125" spans="5:24">
      <c r="E125" s="949"/>
      <c r="F125" s="949"/>
      <c r="G125" s="949"/>
      <c r="H125" s="949"/>
      <c r="I125" s="949"/>
      <c r="J125" s="949"/>
      <c r="K125" s="949"/>
      <c r="L125" s="949"/>
      <c r="M125" s="949"/>
      <c r="N125" s="949"/>
      <c r="O125" s="949"/>
      <c r="P125" s="949"/>
      <c r="Q125" s="949"/>
      <c r="R125" s="949"/>
      <c r="S125" s="949"/>
      <c r="T125" s="949"/>
      <c r="U125" s="949"/>
      <c r="V125" s="949"/>
      <c r="W125" s="949"/>
      <c r="X125" s="949"/>
    </row>
    <row r="126" spans="5:24">
      <c r="E126" s="949"/>
      <c r="F126" s="949"/>
      <c r="G126" s="949"/>
      <c r="H126" s="949"/>
      <c r="I126" s="949"/>
      <c r="J126" s="949"/>
      <c r="K126" s="949"/>
      <c r="L126" s="949"/>
      <c r="M126" s="949"/>
      <c r="N126" s="949"/>
      <c r="O126" s="949"/>
      <c r="P126" s="949"/>
      <c r="Q126" s="949"/>
      <c r="R126" s="949"/>
      <c r="S126" s="949"/>
      <c r="T126" s="949"/>
      <c r="U126" s="949"/>
      <c r="V126" s="949"/>
      <c r="W126" s="949"/>
      <c r="X126" s="949"/>
    </row>
    <row r="127" spans="5:24">
      <c r="E127" s="949"/>
      <c r="F127" s="949"/>
      <c r="G127" s="949"/>
      <c r="H127" s="949"/>
      <c r="I127" s="949"/>
      <c r="J127" s="949"/>
      <c r="K127" s="949"/>
      <c r="L127" s="949"/>
      <c r="M127" s="949"/>
      <c r="N127" s="949"/>
      <c r="O127" s="949"/>
      <c r="P127" s="949"/>
      <c r="Q127" s="949"/>
      <c r="R127" s="949"/>
      <c r="S127" s="949"/>
      <c r="T127" s="949"/>
      <c r="U127" s="949"/>
      <c r="V127" s="949"/>
      <c r="W127" s="949"/>
      <c r="X127" s="949"/>
    </row>
    <row r="128" spans="5:24">
      <c r="E128" s="949"/>
      <c r="F128" s="949"/>
      <c r="G128" s="949"/>
      <c r="H128" s="949"/>
      <c r="I128" s="949"/>
      <c r="J128" s="949"/>
      <c r="K128" s="949"/>
      <c r="L128" s="949"/>
      <c r="M128" s="949"/>
      <c r="N128" s="949"/>
      <c r="O128" s="949"/>
      <c r="P128" s="949"/>
      <c r="Q128" s="949"/>
      <c r="R128" s="949"/>
      <c r="S128" s="949"/>
      <c r="T128" s="949"/>
      <c r="U128" s="949"/>
      <c r="V128" s="949"/>
      <c r="W128" s="949"/>
      <c r="X128" s="949"/>
    </row>
    <row r="129" spans="5:24">
      <c r="E129" s="949"/>
      <c r="F129" s="949"/>
      <c r="G129" s="949"/>
      <c r="H129" s="949"/>
      <c r="I129" s="949"/>
      <c r="J129" s="949"/>
      <c r="K129" s="949"/>
      <c r="L129" s="949"/>
      <c r="M129" s="949"/>
      <c r="N129" s="949"/>
      <c r="O129" s="949"/>
      <c r="P129" s="949"/>
      <c r="Q129" s="949"/>
      <c r="R129" s="949"/>
      <c r="S129" s="949"/>
      <c r="T129" s="949"/>
      <c r="U129" s="949"/>
      <c r="V129" s="949"/>
      <c r="W129" s="949"/>
      <c r="X129" s="949"/>
    </row>
    <row r="130" spans="5:24">
      <c r="E130" s="949"/>
      <c r="F130" s="949"/>
      <c r="G130" s="949"/>
      <c r="H130" s="949"/>
      <c r="I130" s="949"/>
      <c r="J130" s="949"/>
      <c r="K130" s="949"/>
      <c r="L130" s="949"/>
      <c r="M130" s="949"/>
      <c r="N130" s="949"/>
      <c r="O130" s="949"/>
      <c r="P130" s="949"/>
      <c r="Q130" s="949"/>
      <c r="R130" s="949"/>
      <c r="S130" s="949"/>
      <c r="T130" s="949"/>
      <c r="U130" s="949"/>
      <c r="V130" s="949"/>
      <c r="W130" s="949"/>
      <c r="X130" s="949"/>
    </row>
    <row r="131" spans="5:24">
      <c r="E131" s="949"/>
      <c r="F131" s="949"/>
      <c r="G131" s="949"/>
      <c r="H131" s="949"/>
      <c r="I131" s="949"/>
      <c r="J131" s="949"/>
      <c r="K131" s="949"/>
      <c r="L131" s="949"/>
      <c r="M131" s="949"/>
      <c r="N131" s="949"/>
      <c r="O131" s="949"/>
      <c r="P131" s="949"/>
      <c r="Q131" s="949"/>
      <c r="R131" s="949"/>
      <c r="S131" s="949"/>
      <c r="T131" s="949"/>
      <c r="U131" s="949"/>
      <c r="V131" s="949"/>
      <c r="W131" s="949"/>
      <c r="X131" s="949"/>
    </row>
    <row r="132" spans="5:24">
      <c r="E132" s="949"/>
      <c r="F132" s="949"/>
      <c r="G132" s="949"/>
      <c r="H132" s="949"/>
      <c r="I132" s="949"/>
      <c r="J132" s="949"/>
      <c r="K132" s="949"/>
      <c r="L132" s="949"/>
      <c r="M132" s="949"/>
      <c r="N132" s="949"/>
      <c r="O132" s="949"/>
      <c r="P132" s="949"/>
      <c r="Q132" s="949"/>
      <c r="R132" s="949"/>
      <c r="S132" s="949"/>
      <c r="T132" s="949"/>
      <c r="U132" s="949"/>
      <c r="V132" s="949"/>
      <c r="W132" s="949"/>
      <c r="X132" s="949"/>
    </row>
    <row r="133" spans="5:24">
      <c r="E133" s="949"/>
      <c r="F133" s="949"/>
      <c r="G133" s="949"/>
      <c r="H133" s="949"/>
      <c r="I133" s="949"/>
      <c r="J133" s="949"/>
      <c r="K133" s="949"/>
      <c r="L133" s="949"/>
      <c r="M133" s="949"/>
      <c r="N133" s="949"/>
      <c r="O133" s="949"/>
      <c r="P133" s="949"/>
      <c r="Q133" s="949"/>
      <c r="R133" s="949"/>
      <c r="S133" s="949"/>
      <c r="T133" s="949"/>
      <c r="U133" s="949"/>
      <c r="V133" s="949"/>
      <c r="W133" s="949"/>
      <c r="X133" s="949"/>
    </row>
    <row r="134" spans="5:24">
      <c r="E134" s="949"/>
      <c r="F134" s="949"/>
      <c r="G134" s="949"/>
      <c r="H134" s="949"/>
      <c r="I134" s="949"/>
      <c r="J134" s="949"/>
      <c r="K134" s="949"/>
      <c r="L134" s="949"/>
      <c r="M134" s="949"/>
      <c r="N134" s="949"/>
      <c r="O134" s="949"/>
      <c r="P134" s="949"/>
      <c r="Q134" s="949"/>
      <c r="R134" s="949"/>
      <c r="S134" s="949"/>
      <c r="T134" s="949"/>
      <c r="U134" s="949"/>
      <c r="V134" s="949"/>
      <c r="W134" s="949"/>
      <c r="X134" s="949"/>
    </row>
    <row r="135" spans="5:24">
      <c r="E135" s="949"/>
      <c r="F135" s="949"/>
      <c r="G135" s="949"/>
      <c r="H135" s="949"/>
      <c r="I135" s="949"/>
      <c r="J135" s="949"/>
      <c r="K135" s="949"/>
      <c r="L135" s="949"/>
      <c r="M135" s="949"/>
      <c r="N135" s="949"/>
      <c r="O135" s="949"/>
      <c r="P135" s="949"/>
      <c r="Q135" s="949"/>
      <c r="R135" s="949"/>
      <c r="S135" s="949"/>
      <c r="T135" s="949"/>
      <c r="U135" s="949"/>
      <c r="V135" s="949"/>
      <c r="W135" s="949"/>
      <c r="X135" s="949"/>
    </row>
    <row r="136" spans="5:24">
      <c r="E136" s="949"/>
      <c r="F136" s="949"/>
      <c r="G136" s="949"/>
      <c r="H136" s="949"/>
      <c r="I136" s="949"/>
      <c r="J136" s="949"/>
      <c r="K136" s="949"/>
      <c r="L136" s="949"/>
      <c r="M136" s="949"/>
      <c r="N136" s="949"/>
      <c r="O136" s="949"/>
      <c r="P136" s="949"/>
      <c r="Q136" s="949"/>
      <c r="R136" s="949"/>
      <c r="S136" s="949"/>
      <c r="T136" s="949"/>
      <c r="U136" s="949"/>
      <c r="V136" s="949"/>
      <c r="W136" s="949"/>
      <c r="X136" s="949"/>
    </row>
    <row r="137" spans="5:24">
      <c r="E137" s="949"/>
      <c r="F137" s="949"/>
      <c r="G137" s="949"/>
      <c r="H137" s="949"/>
      <c r="I137" s="949"/>
      <c r="J137" s="949"/>
      <c r="K137" s="949"/>
      <c r="L137" s="949"/>
      <c r="M137" s="949"/>
      <c r="N137" s="949"/>
      <c r="O137" s="949"/>
      <c r="P137" s="949"/>
      <c r="Q137" s="949"/>
      <c r="R137" s="949"/>
      <c r="S137" s="949"/>
      <c r="T137" s="949"/>
      <c r="U137" s="949"/>
      <c r="V137" s="949"/>
      <c r="W137" s="949"/>
      <c r="X137" s="949"/>
    </row>
    <row r="138" spans="5:24">
      <c r="E138" s="949"/>
      <c r="F138" s="949"/>
      <c r="G138" s="949"/>
      <c r="H138" s="949"/>
      <c r="I138" s="949"/>
      <c r="J138" s="949"/>
      <c r="K138" s="949"/>
      <c r="L138" s="949"/>
      <c r="M138" s="949"/>
      <c r="N138" s="949"/>
      <c r="O138" s="949"/>
      <c r="P138" s="949"/>
      <c r="Q138" s="949"/>
      <c r="R138" s="949"/>
      <c r="S138" s="949"/>
      <c r="T138" s="949"/>
      <c r="U138" s="949"/>
      <c r="V138" s="949"/>
      <c r="W138" s="949"/>
      <c r="X138" s="949"/>
    </row>
    <row r="139" spans="5:24">
      <c r="E139" s="949"/>
      <c r="F139" s="949"/>
      <c r="G139" s="949"/>
      <c r="H139" s="949"/>
      <c r="I139" s="949"/>
      <c r="J139" s="949"/>
      <c r="K139" s="949"/>
      <c r="L139" s="949"/>
      <c r="M139" s="949"/>
      <c r="N139" s="949"/>
      <c r="O139" s="949"/>
      <c r="P139" s="949"/>
      <c r="Q139" s="949"/>
      <c r="R139" s="949"/>
      <c r="S139" s="949"/>
      <c r="T139" s="949"/>
      <c r="U139" s="949"/>
      <c r="V139" s="949"/>
      <c r="W139" s="949"/>
      <c r="X139" s="949"/>
    </row>
    <row r="140" spans="5:24">
      <c r="E140" s="949"/>
      <c r="F140" s="949"/>
      <c r="G140" s="949"/>
      <c r="H140" s="949"/>
      <c r="I140" s="949"/>
      <c r="J140" s="949"/>
      <c r="K140" s="949"/>
      <c r="L140" s="949"/>
      <c r="M140" s="949"/>
      <c r="N140" s="949"/>
      <c r="O140" s="949"/>
      <c r="P140" s="949"/>
      <c r="Q140" s="949"/>
      <c r="R140" s="949"/>
      <c r="S140" s="949"/>
      <c r="T140" s="949"/>
      <c r="U140" s="949"/>
      <c r="V140" s="949"/>
      <c r="W140" s="949"/>
      <c r="X140" s="949"/>
    </row>
    <row r="141" spans="5:24">
      <c r="E141" s="949"/>
      <c r="F141" s="949"/>
      <c r="G141" s="949"/>
      <c r="H141" s="949"/>
      <c r="I141" s="949"/>
      <c r="J141" s="949"/>
      <c r="K141" s="949"/>
      <c r="L141" s="949"/>
      <c r="M141" s="949"/>
      <c r="N141" s="949"/>
      <c r="O141" s="949"/>
      <c r="P141" s="949"/>
      <c r="Q141" s="949"/>
      <c r="R141" s="949"/>
      <c r="S141" s="949"/>
      <c r="T141" s="949"/>
      <c r="U141" s="949"/>
      <c r="V141" s="949"/>
      <c r="W141" s="949"/>
      <c r="X141" s="949"/>
    </row>
    <row r="142" spans="5:24">
      <c r="E142" s="949"/>
      <c r="F142" s="949"/>
      <c r="G142" s="949"/>
      <c r="H142" s="949"/>
      <c r="I142" s="949"/>
      <c r="J142" s="949"/>
      <c r="K142" s="949"/>
      <c r="L142" s="949"/>
      <c r="M142" s="949"/>
      <c r="N142" s="949"/>
      <c r="O142" s="949"/>
      <c r="P142" s="949"/>
      <c r="Q142" s="949"/>
      <c r="R142" s="949"/>
      <c r="S142" s="949"/>
      <c r="T142" s="949"/>
      <c r="U142" s="949"/>
      <c r="V142" s="949"/>
      <c r="W142" s="949"/>
      <c r="X142" s="949"/>
    </row>
    <row r="143" spans="5:24">
      <c r="E143" s="949"/>
      <c r="F143" s="949"/>
      <c r="G143" s="949"/>
      <c r="H143" s="949"/>
      <c r="I143" s="949"/>
      <c r="J143" s="949"/>
      <c r="K143" s="949"/>
      <c r="L143" s="949"/>
      <c r="M143" s="949"/>
      <c r="N143" s="949"/>
      <c r="O143" s="949"/>
      <c r="P143" s="949"/>
      <c r="Q143" s="949"/>
      <c r="R143" s="949"/>
      <c r="S143" s="949"/>
      <c r="T143" s="949"/>
      <c r="U143" s="949"/>
      <c r="V143" s="949"/>
      <c r="W143" s="949"/>
      <c r="X143" s="949"/>
    </row>
    <row r="144" spans="5:24">
      <c r="E144" s="949"/>
      <c r="F144" s="949"/>
      <c r="G144" s="949"/>
      <c r="H144" s="949"/>
      <c r="I144" s="949"/>
      <c r="J144" s="949"/>
      <c r="K144" s="949"/>
      <c r="L144" s="949"/>
      <c r="M144" s="949"/>
      <c r="N144" s="949"/>
      <c r="O144" s="949"/>
      <c r="P144" s="949"/>
      <c r="Q144" s="949"/>
      <c r="R144" s="949"/>
      <c r="S144" s="949"/>
      <c r="T144" s="949"/>
      <c r="U144" s="949"/>
      <c r="V144" s="949"/>
      <c r="W144" s="949"/>
      <c r="X144" s="949"/>
    </row>
    <row r="145" spans="5:24">
      <c r="E145" s="949"/>
      <c r="F145" s="949"/>
      <c r="G145" s="949"/>
      <c r="H145" s="949"/>
      <c r="I145" s="949"/>
      <c r="J145" s="949"/>
      <c r="K145" s="949"/>
      <c r="L145" s="949"/>
      <c r="M145" s="949"/>
      <c r="N145" s="949"/>
      <c r="O145" s="949"/>
      <c r="P145" s="949"/>
      <c r="Q145" s="949"/>
      <c r="R145" s="949"/>
      <c r="S145" s="949"/>
      <c r="T145" s="949"/>
      <c r="U145" s="949"/>
      <c r="V145" s="949"/>
      <c r="W145" s="949"/>
      <c r="X145" s="949"/>
    </row>
    <row r="146" spans="5:24">
      <c r="E146" s="949"/>
      <c r="F146" s="949"/>
      <c r="G146" s="949"/>
      <c r="H146" s="949"/>
      <c r="I146" s="949"/>
      <c r="J146" s="949"/>
      <c r="K146" s="949"/>
      <c r="L146" s="949"/>
      <c r="M146" s="949"/>
      <c r="N146" s="949"/>
      <c r="O146" s="949"/>
      <c r="P146" s="949"/>
      <c r="Q146" s="949"/>
      <c r="R146" s="949"/>
      <c r="S146" s="949"/>
      <c r="T146" s="949"/>
      <c r="U146" s="949"/>
      <c r="V146" s="949"/>
      <c r="W146" s="949"/>
      <c r="X146" s="949"/>
    </row>
    <row r="147" spans="5:24">
      <c r="E147" s="949"/>
      <c r="F147" s="949"/>
      <c r="G147" s="949"/>
      <c r="H147" s="949"/>
      <c r="I147" s="949"/>
      <c r="J147" s="949"/>
      <c r="K147" s="949"/>
      <c r="L147" s="949"/>
      <c r="M147" s="949"/>
      <c r="N147" s="949"/>
      <c r="O147" s="949"/>
      <c r="P147" s="949"/>
      <c r="Q147" s="949"/>
      <c r="R147" s="949"/>
      <c r="S147" s="949"/>
      <c r="T147" s="949"/>
      <c r="U147" s="949"/>
      <c r="V147" s="949"/>
      <c r="W147" s="949"/>
      <c r="X147" s="949"/>
    </row>
    <row r="148" spans="5:24">
      <c r="E148" s="949"/>
      <c r="F148" s="949"/>
      <c r="G148" s="949"/>
      <c r="H148" s="949"/>
      <c r="I148" s="949"/>
      <c r="J148" s="949"/>
      <c r="K148" s="949"/>
      <c r="L148" s="949"/>
      <c r="M148" s="949"/>
      <c r="N148" s="949"/>
      <c r="O148" s="949"/>
      <c r="P148" s="949"/>
      <c r="Q148" s="949"/>
      <c r="R148" s="949"/>
      <c r="S148" s="949"/>
      <c r="T148" s="949"/>
      <c r="U148" s="949"/>
      <c r="V148" s="949"/>
      <c r="W148" s="949"/>
      <c r="X148" s="949"/>
    </row>
    <row r="149" spans="5:24" ht="60.75" customHeight="1">
      <c r="E149" s="949"/>
      <c r="F149" s="949"/>
      <c r="G149" s="949"/>
      <c r="H149" s="949"/>
      <c r="I149" s="949"/>
      <c r="J149" s="949"/>
      <c r="K149" s="949"/>
      <c r="L149" s="949"/>
      <c r="M149" s="949"/>
      <c r="N149" s="949"/>
      <c r="O149" s="949"/>
      <c r="P149" s="949"/>
      <c r="Q149" s="949"/>
      <c r="R149" s="949"/>
      <c r="S149" s="949"/>
      <c r="T149" s="949"/>
      <c r="U149" s="949"/>
      <c r="V149" s="949"/>
      <c r="W149" s="949"/>
      <c r="X149" s="949"/>
    </row>
    <row r="150" spans="5:24">
      <c r="E150" s="949"/>
      <c r="F150" s="949"/>
      <c r="G150" s="949"/>
      <c r="H150" s="949"/>
      <c r="I150" s="949"/>
      <c r="J150" s="949"/>
      <c r="K150" s="949"/>
      <c r="L150" s="949"/>
      <c r="M150" s="949"/>
      <c r="N150" s="949"/>
      <c r="O150" s="949"/>
      <c r="P150" s="949"/>
      <c r="Q150" s="949"/>
      <c r="R150" s="949"/>
      <c r="S150" s="949"/>
      <c r="T150" s="949"/>
      <c r="U150" s="949"/>
      <c r="V150" s="949"/>
      <c r="W150" s="949"/>
      <c r="X150" s="949"/>
    </row>
    <row r="151" spans="5:24">
      <c r="E151" s="949"/>
      <c r="F151" s="949"/>
      <c r="G151" s="949"/>
      <c r="H151" s="949"/>
      <c r="I151" s="949"/>
      <c r="J151" s="949"/>
      <c r="K151" s="949"/>
      <c r="L151" s="949"/>
      <c r="M151" s="949"/>
      <c r="N151" s="949"/>
      <c r="O151" s="949"/>
      <c r="P151" s="949"/>
      <c r="Q151" s="949"/>
      <c r="R151" s="949"/>
      <c r="S151" s="949"/>
      <c r="T151" s="949"/>
      <c r="U151" s="949"/>
      <c r="V151" s="949"/>
      <c r="W151" s="949"/>
      <c r="X151" s="949"/>
    </row>
    <row r="152" spans="5:24">
      <c r="E152" s="949"/>
      <c r="F152" s="949"/>
      <c r="G152" s="949"/>
      <c r="H152" s="949"/>
      <c r="I152" s="949"/>
      <c r="J152" s="949"/>
      <c r="K152" s="949"/>
      <c r="L152" s="949"/>
      <c r="M152" s="949"/>
      <c r="N152" s="949"/>
      <c r="O152" s="949"/>
      <c r="P152" s="949"/>
      <c r="Q152" s="949"/>
      <c r="R152" s="949"/>
      <c r="S152" s="949"/>
      <c r="T152" s="949"/>
      <c r="U152" s="949"/>
      <c r="V152" s="949"/>
      <c r="W152" s="949"/>
      <c r="X152" s="949"/>
    </row>
    <row r="153" spans="5:24">
      <c r="E153" s="949"/>
      <c r="F153" s="949"/>
      <c r="G153" s="949"/>
      <c r="H153" s="949"/>
      <c r="I153" s="949"/>
      <c r="J153" s="949"/>
      <c r="K153" s="949"/>
      <c r="L153" s="949"/>
      <c r="M153" s="949"/>
      <c r="N153" s="949"/>
      <c r="O153" s="949"/>
      <c r="P153" s="949"/>
      <c r="Q153" s="949"/>
      <c r="R153" s="949"/>
      <c r="S153" s="949"/>
      <c r="T153" s="949"/>
      <c r="U153" s="949"/>
      <c r="V153" s="949"/>
      <c r="W153" s="949"/>
      <c r="X153" s="949"/>
    </row>
    <row r="154" spans="5:24">
      <c r="E154" s="949"/>
      <c r="F154" s="949"/>
      <c r="G154" s="949"/>
      <c r="H154" s="949"/>
      <c r="I154" s="949"/>
      <c r="J154" s="949"/>
      <c r="K154" s="949"/>
      <c r="L154" s="949"/>
      <c r="M154" s="949"/>
      <c r="N154" s="949"/>
      <c r="O154" s="949"/>
      <c r="P154" s="949"/>
      <c r="Q154" s="949"/>
      <c r="R154" s="949"/>
      <c r="S154" s="949"/>
      <c r="T154" s="949"/>
      <c r="U154" s="949"/>
      <c r="V154" s="949"/>
      <c r="W154" s="949"/>
      <c r="X154" s="949"/>
    </row>
    <row r="155" spans="5:24">
      <c r="E155" s="949"/>
      <c r="F155" s="949"/>
      <c r="G155" s="949"/>
      <c r="H155" s="949"/>
      <c r="I155" s="949"/>
      <c r="J155" s="949"/>
      <c r="K155" s="949"/>
      <c r="L155" s="949"/>
      <c r="M155" s="949"/>
      <c r="N155" s="949"/>
      <c r="O155" s="949"/>
      <c r="P155" s="949"/>
      <c r="Q155" s="949"/>
      <c r="R155" s="949"/>
      <c r="S155" s="949"/>
      <c r="T155" s="949"/>
      <c r="U155" s="949"/>
      <c r="V155" s="949"/>
      <c r="W155" s="949"/>
      <c r="X155" s="949"/>
    </row>
    <row r="156" spans="5:24">
      <c r="E156" s="949"/>
      <c r="F156" s="949"/>
      <c r="G156" s="949"/>
      <c r="H156" s="949"/>
      <c r="I156" s="949"/>
      <c r="J156" s="949"/>
      <c r="K156" s="949"/>
      <c r="L156" s="949"/>
      <c r="M156" s="949"/>
      <c r="N156" s="949"/>
      <c r="O156" s="949"/>
      <c r="P156" s="949"/>
      <c r="Q156" s="949"/>
      <c r="R156" s="949"/>
      <c r="S156" s="949"/>
      <c r="T156" s="949"/>
      <c r="U156" s="949"/>
      <c r="V156" s="949"/>
      <c r="W156" s="949"/>
      <c r="X156" s="949"/>
    </row>
    <row r="157" spans="5:24">
      <c r="E157" s="949"/>
      <c r="F157" s="949"/>
      <c r="G157" s="949"/>
      <c r="H157" s="949"/>
      <c r="I157" s="949"/>
      <c r="J157" s="949"/>
      <c r="K157" s="949"/>
      <c r="L157" s="949"/>
      <c r="M157" s="949"/>
      <c r="N157" s="949"/>
      <c r="O157" s="949"/>
      <c r="P157" s="949"/>
      <c r="Q157" s="949"/>
      <c r="R157" s="949"/>
      <c r="S157" s="949"/>
      <c r="T157" s="949"/>
      <c r="U157" s="949"/>
      <c r="V157" s="949"/>
      <c r="W157" s="949"/>
      <c r="X157" s="949"/>
    </row>
    <row r="158" spans="5:24">
      <c r="E158" s="949"/>
      <c r="F158" s="949"/>
      <c r="G158" s="949"/>
      <c r="H158" s="949"/>
      <c r="I158" s="949"/>
      <c r="J158" s="949"/>
      <c r="K158" s="949"/>
      <c r="L158" s="949"/>
      <c r="M158" s="949"/>
      <c r="N158" s="949"/>
      <c r="O158" s="949"/>
      <c r="P158" s="949"/>
      <c r="Q158" s="949"/>
      <c r="R158" s="949"/>
      <c r="S158" s="949"/>
      <c r="T158" s="949"/>
      <c r="U158" s="949"/>
      <c r="V158" s="949"/>
      <c r="W158" s="949"/>
      <c r="X158" s="949"/>
    </row>
    <row r="159" spans="5:24">
      <c r="E159" s="949"/>
      <c r="F159" s="949"/>
      <c r="G159" s="949"/>
      <c r="H159" s="949"/>
      <c r="I159" s="949"/>
      <c r="J159" s="949"/>
      <c r="K159" s="949"/>
      <c r="L159" s="949"/>
      <c r="M159" s="949"/>
      <c r="N159" s="949"/>
      <c r="O159" s="949"/>
      <c r="P159" s="949"/>
      <c r="Q159" s="949"/>
      <c r="R159" s="949"/>
      <c r="S159" s="949"/>
      <c r="T159" s="949"/>
      <c r="U159" s="949"/>
      <c r="V159" s="949"/>
      <c r="W159" s="949"/>
      <c r="X159" s="949"/>
    </row>
    <row r="160" spans="5:24" ht="58.5" customHeight="1">
      <c r="E160" s="949"/>
      <c r="F160" s="949"/>
      <c r="G160" s="949"/>
      <c r="H160" s="949"/>
      <c r="I160" s="949"/>
      <c r="J160" s="949"/>
      <c r="K160" s="949"/>
      <c r="L160" s="949"/>
      <c r="M160" s="949"/>
      <c r="N160" s="949"/>
      <c r="O160" s="949"/>
      <c r="P160" s="949"/>
      <c r="Q160" s="949"/>
      <c r="R160" s="949"/>
      <c r="S160" s="949"/>
      <c r="T160" s="949"/>
      <c r="U160" s="949"/>
      <c r="V160" s="949"/>
      <c r="W160" s="949"/>
      <c r="X160" s="949"/>
    </row>
    <row r="161" spans="5:24">
      <c r="E161" s="949"/>
      <c r="F161" s="949"/>
      <c r="G161" s="949"/>
      <c r="H161" s="949"/>
      <c r="I161" s="949"/>
      <c r="J161" s="949"/>
      <c r="K161" s="949"/>
      <c r="L161" s="949"/>
      <c r="M161" s="949"/>
      <c r="N161" s="949"/>
      <c r="O161" s="949"/>
      <c r="P161" s="949"/>
      <c r="Q161" s="949"/>
      <c r="R161" s="949"/>
      <c r="S161" s="949"/>
      <c r="T161" s="949"/>
      <c r="U161" s="949"/>
      <c r="V161" s="949"/>
      <c r="W161" s="949"/>
      <c r="X161" s="949"/>
    </row>
    <row r="162" spans="5:24">
      <c r="E162" s="949"/>
      <c r="F162" s="949"/>
      <c r="G162" s="949"/>
      <c r="H162" s="949"/>
      <c r="I162" s="949"/>
      <c r="J162" s="949"/>
      <c r="K162" s="949"/>
      <c r="L162" s="949"/>
      <c r="M162" s="949"/>
      <c r="N162" s="949"/>
      <c r="O162" s="949"/>
      <c r="P162" s="949"/>
      <c r="Q162" s="949"/>
      <c r="R162" s="949"/>
      <c r="S162" s="949"/>
      <c r="T162" s="949"/>
      <c r="U162" s="949"/>
      <c r="V162" s="949"/>
      <c r="W162" s="949"/>
      <c r="X162" s="949"/>
    </row>
    <row r="163" spans="5:24">
      <c r="E163" s="949"/>
      <c r="F163" s="949"/>
      <c r="G163" s="949"/>
      <c r="H163" s="949"/>
      <c r="I163" s="949"/>
      <c r="J163" s="949"/>
      <c r="K163" s="949"/>
      <c r="L163" s="949"/>
      <c r="M163" s="949"/>
      <c r="N163" s="949"/>
      <c r="O163" s="949"/>
      <c r="P163" s="949"/>
      <c r="Q163" s="949"/>
      <c r="R163" s="949"/>
      <c r="S163" s="949"/>
      <c r="T163" s="949"/>
      <c r="U163" s="949"/>
      <c r="V163" s="949"/>
      <c r="W163" s="949"/>
      <c r="X163" s="949"/>
    </row>
    <row r="164" spans="5:24">
      <c r="E164" s="949"/>
      <c r="F164" s="949"/>
      <c r="G164" s="949"/>
      <c r="H164" s="949"/>
      <c r="I164" s="949"/>
      <c r="J164" s="949"/>
      <c r="K164" s="949"/>
      <c r="L164" s="949"/>
      <c r="M164" s="949"/>
      <c r="N164" s="949"/>
      <c r="O164" s="949"/>
      <c r="P164" s="949"/>
      <c r="Q164" s="949"/>
      <c r="R164" s="949"/>
      <c r="S164" s="949"/>
      <c r="T164" s="949"/>
      <c r="U164" s="949"/>
      <c r="V164" s="949"/>
      <c r="W164" s="949"/>
      <c r="X164" s="949"/>
    </row>
    <row r="165" spans="5:24" ht="34.5" customHeight="1">
      <c r="E165" s="949"/>
      <c r="F165" s="949"/>
      <c r="G165" s="949"/>
      <c r="H165" s="949"/>
      <c r="I165" s="949"/>
      <c r="J165" s="949"/>
      <c r="K165" s="949"/>
      <c r="L165" s="949"/>
      <c r="M165" s="949"/>
      <c r="N165" s="949"/>
      <c r="O165" s="949"/>
      <c r="P165" s="949"/>
      <c r="Q165" s="949"/>
      <c r="R165" s="949"/>
      <c r="S165" s="949"/>
      <c r="T165" s="949"/>
      <c r="U165" s="949"/>
      <c r="V165" s="949"/>
      <c r="W165" s="949"/>
      <c r="X165" s="949"/>
    </row>
    <row r="166" spans="5:24">
      <c r="E166" s="949"/>
      <c r="F166" s="949"/>
      <c r="G166" s="949"/>
      <c r="H166" s="949"/>
      <c r="I166" s="949"/>
      <c r="J166" s="949"/>
      <c r="K166" s="949"/>
      <c r="L166" s="949"/>
      <c r="M166" s="949"/>
      <c r="N166" s="949"/>
      <c r="O166" s="949"/>
      <c r="P166" s="949"/>
      <c r="Q166" s="949"/>
      <c r="R166" s="949"/>
      <c r="S166" s="949"/>
      <c r="T166" s="949"/>
      <c r="U166" s="949"/>
      <c r="V166" s="949"/>
      <c r="W166" s="949"/>
      <c r="X166" s="949"/>
    </row>
    <row r="167" spans="5:24">
      <c r="E167" s="949"/>
      <c r="F167" s="949"/>
      <c r="G167" s="949"/>
      <c r="H167" s="949"/>
      <c r="I167" s="949"/>
      <c r="J167" s="949"/>
      <c r="K167" s="949"/>
      <c r="L167" s="949"/>
      <c r="M167" s="949"/>
      <c r="N167" s="949"/>
      <c r="O167" s="949"/>
      <c r="P167" s="949"/>
      <c r="Q167" s="949"/>
      <c r="R167" s="949"/>
      <c r="S167" s="949"/>
      <c r="T167" s="949"/>
      <c r="U167" s="949"/>
      <c r="V167" s="949"/>
      <c r="W167" s="949"/>
      <c r="X167" s="949"/>
    </row>
    <row r="168" spans="5:24">
      <c r="E168" s="949"/>
      <c r="F168" s="949"/>
      <c r="G168" s="949"/>
      <c r="H168" s="949"/>
      <c r="I168" s="949"/>
      <c r="J168" s="949"/>
      <c r="K168" s="949"/>
      <c r="L168" s="949"/>
      <c r="M168" s="949"/>
      <c r="N168" s="949"/>
      <c r="O168" s="949"/>
      <c r="P168" s="949"/>
      <c r="Q168" s="949"/>
      <c r="R168" s="949"/>
      <c r="S168" s="949"/>
      <c r="T168" s="949"/>
      <c r="U168" s="949"/>
      <c r="V168" s="949"/>
      <c r="W168" s="949"/>
      <c r="X168" s="949"/>
    </row>
    <row r="169" spans="5:24">
      <c r="E169" s="949"/>
      <c r="F169" s="949"/>
      <c r="G169" s="949"/>
      <c r="H169" s="949"/>
      <c r="I169" s="949"/>
      <c r="J169" s="949"/>
      <c r="K169" s="949"/>
      <c r="L169" s="949"/>
      <c r="M169" s="949"/>
      <c r="N169" s="949"/>
      <c r="O169" s="949"/>
      <c r="P169" s="949"/>
      <c r="Q169" s="949"/>
      <c r="R169" s="949"/>
      <c r="S169" s="949"/>
      <c r="T169" s="949"/>
      <c r="U169" s="949"/>
      <c r="V169" s="949"/>
      <c r="W169" s="949"/>
      <c r="X169" s="949"/>
    </row>
    <row r="170" spans="5:24">
      <c r="E170" s="949"/>
      <c r="F170" s="949"/>
      <c r="G170" s="949"/>
      <c r="H170" s="949"/>
      <c r="I170" s="949"/>
      <c r="J170" s="949"/>
      <c r="K170" s="949"/>
      <c r="L170" s="949"/>
      <c r="M170" s="949"/>
      <c r="N170" s="949"/>
      <c r="O170" s="949"/>
      <c r="P170" s="949"/>
      <c r="Q170" s="949"/>
      <c r="R170" s="949"/>
      <c r="S170" s="949"/>
      <c r="T170" s="949"/>
      <c r="U170" s="949"/>
      <c r="V170" s="949"/>
      <c r="W170" s="949"/>
      <c r="X170" s="949"/>
    </row>
    <row r="171" spans="5:24" ht="54" customHeight="1">
      <c r="E171" s="949"/>
      <c r="F171" s="949"/>
      <c r="G171" s="949"/>
      <c r="H171" s="949"/>
      <c r="I171" s="949"/>
      <c r="J171" s="949"/>
      <c r="K171" s="949"/>
      <c r="L171" s="949"/>
      <c r="M171" s="949"/>
      <c r="N171" s="949"/>
      <c r="O171" s="949"/>
      <c r="P171" s="949"/>
      <c r="Q171" s="949"/>
      <c r="R171" s="949"/>
      <c r="S171" s="949"/>
      <c r="T171" s="949"/>
      <c r="U171" s="949"/>
      <c r="V171" s="949"/>
      <c r="W171" s="949"/>
      <c r="X171" s="949"/>
    </row>
    <row r="172" spans="5:24">
      <c r="E172" s="949"/>
      <c r="F172" s="949"/>
      <c r="G172" s="949"/>
      <c r="H172" s="949"/>
      <c r="I172" s="949"/>
      <c r="J172" s="949"/>
      <c r="K172" s="949"/>
      <c r="L172" s="949"/>
      <c r="M172" s="949"/>
      <c r="N172" s="949"/>
      <c r="O172" s="949"/>
      <c r="P172" s="949"/>
      <c r="Q172" s="949"/>
      <c r="R172" s="949"/>
      <c r="S172" s="949"/>
      <c r="T172" s="949"/>
      <c r="U172" s="949"/>
      <c r="V172" s="949"/>
      <c r="W172" s="949"/>
      <c r="X172" s="949"/>
    </row>
    <row r="173" spans="5:24" ht="54.75" customHeight="1">
      <c r="E173" s="949"/>
      <c r="F173" s="949"/>
      <c r="G173" s="949"/>
      <c r="H173" s="949"/>
      <c r="I173" s="949"/>
      <c r="J173" s="949"/>
      <c r="K173" s="949"/>
      <c r="L173" s="949"/>
      <c r="M173" s="949"/>
      <c r="N173" s="949"/>
      <c r="O173" s="949"/>
      <c r="P173" s="949"/>
      <c r="Q173" s="949"/>
      <c r="R173" s="949"/>
      <c r="S173" s="949"/>
      <c r="T173" s="949"/>
      <c r="U173" s="949"/>
      <c r="V173" s="949"/>
      <c r="W173" s="949"/>
      <c r="X173" s="949"/>
    </row>
    <row r="174" spans="5:24">
      <c r="E174" s="949"/>
      <c r="F174" s="949"/>
      <c r="G174" s="949"/>
      <c r="H174" s="949"/>
      <c r="I174" s="949"/>
      <c r="J174" s="949"/>
      <c r="K174" s="949"/>
      <c r="L174" s="949"/>
      <c r="M174" s="949"/>
      <c r="N174" s="949"/>
      <c r="O174" s="949"/>
      <c r="P174" s="949"/>
      <c r="Q174" s="949"/>
      <c r="R174" s="949"/>
      <c r="S174" s="949"/>
      <c r="T174" s="949"/>
      <c r="U174" s="949"/>
      <c r="V174" s="949"/>
      <c r="W174" s="949"/>
      <c r="X174" s="949"/>
    </row>
    <row r="175" spans="5:24">
      <c r="E175" s="949"/>
      <c r="F175" s="949"/>
      <c r="G175" s="949"/>
      <c r="H175" s="949"/>
      <c r="I175" s="949"/>
      <c r="J175" s="949"/>
      <c r="K175" s="949"/>
      <c r="L175" s="949"/>
      <c r="M175" s="949"/>
      <c r="N175" s="949"/>
      <c r="O175" s="949"/>
      <c r="P175" s="949"/>
      <c r="Q175" s="949"/>
      <c r="R175" s="949"/>
      <c r="S175" s="949"/>
      <c r="T175" s="949"/>
      <c r="U175" s="949"/>
      <c r="V175" s="949"/>
      <c r="W175" s="949"/>
      <c r="X175" s="949"/>
    </row>
    <row r="176" spans="5:24">
      <c r="E176" s="949"/>
      <c r="F176" s="949"/>
      <c r="G176" s="949"/>
      <c r="H176" s="949"/>
      <c r="I176" s="949"/>
      <c r="J176" s="949"/>
      <c r="K176" s="949"/>
      <c r="L176" s="949"/>
      <c r="M176" s="949"/>
      <c r="N176" s="949"/>
      <c r="O176" s="949"/>
      <c r="P176" s="949"/>
      <c r="Q176" s="949"/>
      <c r="R176" s="949"/>
      <c r="S176" s="949"/>
      <c r="T176" s="949"/>
      <c r="U176" s="949"/>
      <c r="V176" s="949"/>
      <c r="W176" s="949"/>
      <c r="X176" s="949"/>
    </row>
    <row r="177" spans="5:24">
      <c r="E177" s="949"/>
      <c r="F177" s="949"/>
      <c r="G177" s="949"/>
      <c r="H177" s="949"/>
      <c r="I177" s="949"/>
      <c r="J177" s="949"/>
      <c r="K177" s="949"/>
      <c r="L177" s="949"/>
      <c r="M177" s="949"/>
      <c r="N177" s="949"/>
      <c r="O177" s="949"/>
      <c r="P177" s="949"/>
      <c r="Q177" s="949"/>
      <c r="R177" s="949"/>
      <c r="S177" s="949"/>
      <c r="T177" s="949"/>
      <c r="U177" s="949"/>
      <c r="V177" s="949"/>
      <c r="W177" s="949"/>
      <c r="X177" s="949"/>
    </row>
    <row r="178" spans="5:24">
      <c r="E178" s="949"/>
      <c r="F178" s="949"/>
      <c r="G178" s="949"/>
      <c r="H178" s="949"/>
      <c r="I178" s="949"/>
      <c r="J178" s="949"/>
      <c r="K178" s="949"/>
      <c r="L178" s="949"/>
      <c r="M178" s="949"/>
      <c r="N178" s="949"/>
      <c r="O178" s="949"/>
      <c r="P178" s="949"/>
      <c r="Q178" s="949"/>
      <c r="R178" s="949"/>
      <c r="S178" s="949"/>
      <c r="T178" s="949"/>
      <c r="U178" s="949"/>
      <c r="V178" s="949"/>
      <c r="W178" s="949"/>
      <c r="X178" s="949"/>
    </row>
    <row r="179" spans="5:24">
      <c r="E179" s="949"/>
      <c r="F179" s="949"/>
      <c r="G179" s="949"/>
      <c r="H179" s="949"/>
      <c r="I179" s="949"/>
      <c r="J179" s="949"/>
      <c r="K179" s="949"/>
      <c r="L179" s="949"/>
      <c r="M179" s="949"/>
      <c r="N179" s="949"/>
      <c r="O179" s="949"/>
      <c r="P179" s="949"/>
      <c r="Q179" s="949"/>
      <c r="R179" s="949"/>
      <c r="S179" s="949"/>
      <c r="T179" s="949"/>
      <c r="U179" s="949"/>
      <c r="V179" s="949"/>
      <c r="W179" s="949"/>
      <c r="X179" s="949"/>
    </row>
    <row r="180" spans="5:24">
      <c r="E180" s="949"/>
      <c r="F180" s="949"/>
      <c r="G180" s="949"/>
      <c r="H180" s="949"/>
      <c r="I180" s="949"/>
      <c r="J180" s="949"/>
      <c r="K180" s="949"/>
      <c r="L180" s="949"/>
      <c r="M180" s="949"/>
      <c r="N180" s="949"/>
      <c r="O180" s="949"/>
      <c r="P180" s="949"/>
      <c r="Q180" s="949"/>
      <c r="R180" s="949"/>
      <c r="S180" s="949"/>
      <c r="T180" s="949"/>
      <c r="U180" s="949"/>
      <c r="V180" s="949"/>
      <c r="W180" s="949"/>
      <c r="X180" s="949"/>
    </row>
    <row r="181" spans="5:24">
      <c r="E181" s="949"/>
      <c r="F181" s="949"/>
      <c r="G181" s="949"/>
      <c r="H181" s="949"/>
      <c r="I181" s="949"/>
      <c r="J181" s="949"/>
      <c r="K181" s="949"/>
      <c r="L181" s="949"/>
      <c r="M181" s="949"/>
      <c r="N181" s="949"/>
      <c r="O181" s="949"/>
      <c r="P181" s="949"/>
      <c r="Q181" s="949"/>
      <c r="R181" s="949"/>
      <c r="S181" s="949"/>
      <c r="T181" s="949"/>
      <c r="U181" s="949"/>
      <c r="V181" s="949"/>
      <c r="W181" s="949"/>
      <c r="X181" s="949"/>
    </row>
    <row r="182" spans="5:24">
      <c r="E182" s="949"/>
      <c r="F182" s="949"/>
      <c r="G182" s="949"/>
      <c r="H182" s="949"/>
      <c r="I182" s="949"/>
      <c r="J182" s="949"/>
      <c r="K182" s="949"/>
      <c r="L182" s="949"/>
      <c r="M182" s="949"/>
      <c r="N182" s="949"/>
      <c r="O182" s="949"/>
      <c r="P182" s="949"/>
      <c r="Q182" s="949"/>
      <c r="R182" s="949"/>
      <c r="S182" s="949"/>
      <c r="T182" s="949"/>
      <c r="U182" s="949"/>
      <c r="V182" s="949"/>
      <c r="W182" s="949"/>
      <c r="X182" s="949"/>
    </row>
    <row r="183" spans="5:24">
      <c r="E183" s="949"/>
      <c r="F183" s="949"/>
      <c r="G183" s="949"/>
      <c r="H183" s="949"/>
      <c r="I183" s="949"/>
      <c r="J183" s="949"/>
      <c r="K183" s="949"/>
      <c r="L183" s="949"/>
      <c r="M183" s="949"/>
      <c r="N183" s="949"/>
      <c r="O183" s="949"/>
      <c r="P183" s="949"/>
      <c r="Q183" s="949"/>
      <c r="R183" s="949"/>
      <c r="S183" s="949"/>
      <c r="T183" s="949"/>
      <c r="U183" s="949"/>
      <c r="V183" s="949"/>
      <c r="W183" s="949"/>
      <c r="X183" s="949"/>
    </row>
    <row r="184" spans="5:24">
      <c r="E184" s="949"/>
      <c r="F184" s="949"/>
      <c r="G184" s="949"/>
      <c r="H184" s="949"/>
      <c r="I184" s="949"/>
      <c r="J184" s="949"/>
      <c r="K184" s="949"/>
      <c r="L184" s="949"/>
      <c r="M184" s="949"/>
      <c r="N184" s="949"/>
      <c r="O184" s="949"/>
      <c r="P184" s="949"/>
      <c r="Q184" s="949"/>
      <c r="R184" s="949"/>
      <c r="S184" s="949"/>
      <c r="T184" s="949"/>
      <c r="U184" s="949"/>
      <c r="V184" s="949"/>
      <c r="W184" s="949"/>
      <c r="X184" s="949"/>
    </row>
    <row r="185" spans="5:24">
      <c r="E185" s="949"/>
      <c r="F185" s="949"/>
      <c r="G185" s="949"/>
      <c r="H185" s="949"/>
      <c r="I185" s="949"/>
      <c r="J185" s="949"/>
      <c r="K185" s="949"/>
      <c r="L185" s="949"/>
      <c r="M185" s="949"/>
      <c r="N185" s="949"/>
      <c r="O185" s="949"/>
      <c r="P185" s="949"/>
      <c r="Q185" s="949"/>
      <c r="R185" s="949"/>
      <c r="S185" s="949"/>
      <c r="T185" s="949"/>
      <c r="U185" s="949"/>
      <c r="V185" s="949"/>
      <c r="W185" s="949"/>
      <c r="X185" s="949"/>
    </row>
    <row r="186" spans="5:24">
      <c r="E186" s="949"/>
      <c r="F186" s="949"/>
      <c r="G186" s="949"/>
      <c r="H186" s="949"/>
      <c r="I186" s="949"/>
      <c r="J186" s="949"/>
      <c r="K186" s="949"/>
      <c r="L186" s="949"/>
      <c r="M186" s="949"/>
      <c r="N186" s="949"/>
      <c r="O186" s="949"/>
      <c r="P186" s="949"/>
      <c r="Q186" s="949"/>
      <c r="R186" s="949"/>
      <c r="S186" s="949"/>
      <c r="T186" s="949"/>
      <c r="U186" s="949"/>
      <c r="V186" s="949"/>
      <c r="W186" s="949"/>
      <c r="X186" s="949"/>
    </row>
    <row r="187" spans="5:24">
      <c r="E187" s="949"/>
      <c r="F187" s="949"/>
      <c r="G187" s="949"/>
      <c r="H187" s="949"/>
      <c r="I187" s="949"/>
      <c r="J187" s="949"/>
      <c r="K187" s="949"/>
      <c r="L187" s="949"/>
      <c r="M187" s="949"/>
      <c r="N187" s="949"/>
      <c r="O187" s="949"/>
      <c r="P187" s="949"/>
      <c r="Q187" s="949"/>
      <c r="R187" s="949"/>
      <c r="S187" s="949"/>
      <c r="T187" s="949"/>
      <c r="U187" s="949"/>
      <c r="V187" s="949"/>
      <c r="W187" s="949"/>
      <c r="X187" s="949"/>
    </row>
    <row r="188" spans="5:24">
      <c r="E188" s="949"/>
      <c r="F188" s="949"/>
      <c r="G188" s="949"/>
      <c r="H188" s="949"/>
      <c r="I188" s="949"/>
      <c r="J188" s="949"/>
      <c r="K188" s="949"/>
      <c r="L188" s="949"/>
      <c r="M188" s="949"/>
      <c r="N188" s="949"/>
      <c r="O188" s="949"/>
      <c r="P188" s="949"/>
      <c r="Q188" s="949"/>
      <c r="R188" s="949"/>
      <c r="S188" s="949"/>
      <c r="T188" s="949"/>
      <c r="U188" s="949"/>
      <c r="V188" s="949"/>
      <c r="W188" s="949"/>
      <c r="X188" s="949"/>
    </row>
    <row r="189" spans="5:24">
      <c r="E189" s="949"/>
      <c r="F189" s="949"/>
      <c r="G189" s="949"/>
      <c r="H189" s="949"/>
      <c r="I189" s="949"/>
      <c r="J189" s="949"/>
      <c r="K189" s="949"/>
      <c r="L189" s="949"/>
      <c r="M189" s="949"/>
      <c r="N189" s="949"/>
      <c r="O189" s="949"/>
      <c r="P189" s="949"/>
      <c r="Q189" s="949"/>
      <c r="R189" s="949"/>
      <c r="S189" s="949"/>
      <c r="T189" s="949"/>
      <c r="U189" s="949"/>
      <c r="V189" s="949"/>
      <c r="W189" s="949"/>
      <c r="X189" s="949"/>
    </row>
    <row r="190" spans="5:24">
      <c r="E190" s="949"/>
      <c r="F190" s="949"/>
      <c r="G190" s="949"/>
      <c r="H190" s="949"/>
      <c r="I190" s="949"/>
      <c r="J190" s="949"/>
      <c r="K190" s="949"/>
      <c r="L190" s="949"/>
      <c r="M190" s="949"/>
      <c r="N190" s="949"/>
      <c r="O190" s="949"/>
      <c r="P190" s="949"/>
      <c r="Q190" s="949"/>
      <c r="R190" s="949"/>
      <c r="S190" s="949"/>
      <c r="T190" s="949"/>
      <c r="U190" s="949"/>
      <c r="V190" s="949"/>
      <c r="W190" s="949"/>
      <c r="X190" s="949"/>
    </row>
    <row r="191" spans="5:24">
      <c r="E191" s="949"/>
      <c r="F191" s="949"/>
      <c r="G191" s="949"/>
      <c r="H191" s="949"/>
      <c r="I191" s="949"/>
      <c r="J191" s="949"/>
      <c r="K191" s="949"/>
      <c r="L191" s="949"/>
      <c r="M191" s="949"/>
      <c r="N191" s="949"/>
      <c r="O191" s="949"/>
      <c r="P191" s="949"/>
      <c r="Q191" s="949"/>
      <c r="R191" s="949"/>
      <c r="S191" s="949"/>
      <c r="T191" s="949"/>
      <c r="U191" s="949"/>
      <c r="V191" s="949"/>
      <c r="W191" s="949"/>
      <c r="X191" s="949"/>
    </row>
    <row r="192" spans="5:24">
      <c r="E192" s="949"/>
      <c r="F192" s="949"/>
      <c r="G192" s="949"/>
      <c r="H192" s="949"/>
      <c r="I192" s="949"/>
      <c r="J192" s="949"/>
      <c r="K192" s="949"/>
      <c r="L192" s="949"/>
      <c r="M192" s="949"/>
      <c r="N192" s="949"/>
      <c r="O192" s="949"/>
      <c r="P192" s="949"/>
      <c r="Q192" s="949"/>
      <c r="R192" s="949"/>
      <c r="S192" s="949"/>
      <c r="T192" s="949"/>
      <c r="U192" s="949"/>
      <c r="V192" s="949"/>
      <c r="W192" s="949"/>
      <c r="X192" s="949"/>
    </row>
    <row r="193" spans="5:24">
      <c r="E193" s="949"/>
      <c r="F193" s="949"/>
      <c r="G193" s="949"/>
      <c r="H193" s="949"/>
      <c r="I193" s="949"/>
      <c r="J193" s="949"/>
      <c r="K193" s="949"/>
      <c r="L193" s="949"/>
      <c r="M193" s="949"/>
      <c r="N193" s="949"/>
      <c r="O193" s="949"/>
      <c r="P193" s="949"/>
      <c r="Q193" s="949"/>
      <c r="R193" s="949"/>
      <c r="S193" s="949"/>
      <c r="T193" s="949"/>
      <c r="U193" s="949"/>
      <c r="V193" s="949"/>
      <c r="W193" s="949"/>
      <c r="X193" s="949"/>
    </row>
    <row r="194" spans="5:24">
      <c r="E194" s="949"/>
      <c r="F194" s="949"/>
      <c r="G194" s="949"/>
      <c r="H194" s="949"/>
      <c r="I194" s="949"/>
      <c r="J194" s="949"/>
      <c r="K194" s="949"/>
      <c r="L194" s="949"/>
      <c r="M194" s="949"/>
      <c r="N194" s="949"/>
      <c r="O194" s="949"/>
      <c r="P194" s="949"/>
      <c r="Q194" s="949"/>
      <c r="R194" s="949"/>
      <c r="S194" s="949"/>
      <c r="T194" s="949"/>
      <c r="U194" s="949"/>
      <c r="V194" s="949"/>
      <c r="W194" s="949"/>
      <c r="X194" s="949"/>
    </row>
    <row r="195" spans="5:24">
      <c r="E195" s="949"/>
      <c r="F195" s="949"/>
      <c r="G195" s="949"/>
      <c r="H195" s="949"/>
      <c r="I195" s="949"/>
      <c r="J195" s="949"/>
      <c r="K195" s="949"/>
      <c r="L195" s="949"/>
      <c r="M195" s="949"/>
      <c r="N195" s="949"/>
      <c r="O195" s="949"/>
      <c r="P195" s="949"/>
      <c r="Q195" s="949"/>
      <c r="R195" s="949"/>
      <c r="S195" s="949"/>
      <c r="T195" s="949"/>
      <c r="U195" s="949"/>
      <c r="V195" s="949"/>
      <c r="W195" s="949"/>
      <c r="X195" s="949"/>
    </row>
    <row r="196" spans="5:24">
      <c r="E196" s="949"/>
      <c r="F196" s="949"/>
      <c r="G196" s="949"/>
      <c r="H196" s="949"/>
      <c r="I196" s="949"/>
      <c r="J196" s="949"/>
      <c r="K196" s="949"/>
      <c r="L196" s="949"/>
      <c r="M196" s="949"/>
      <c r="N196" s="949"/>
      <c r="O196" s="949"/>
      <c r="P196" s="949"/>
      <c r="Q196" s="949"/>
      <c r="R196" s="949"/>
      <c r="S196" s="949"/>
      <c r="T196" s="949"/>
      <c r="U196" s="949"/>
      <c r="V196" s="949"/>
      <c r="W196" s="949"/>
      <c r="X196" s="949"/>
    </row>
    <row r="197" spans="5:24">
      <c r="E197" s="949"/>
      <c r="F197" s="949"/>
      <c r="G197" s="949"/>
      <c r="H197" s="949"/>
      <c r="I197" s="949"/>
      <c r="J197" s="949"/>
      <c r="K197" s="949"/>
      <c r="L197" s="949"/>
      <c r="M197" s="949"/>
      <c r="N197" s="949"/>
      <c r="O197" s="949"/>
      <c r="P197" s="949"/>
      <c r="Q197" s="949"/>
      <c r="R197" s="949"/>
      <c r="S197" s="949"/>
      <c r="T197" s="949"/>
      <c r="U197" s="949"/>
      <c r="V197" s="949"/>
      <c r="W197" s="949"/>
      <c r="X197" s="949"/>
    </row>
    <row r="198" spans="5:24">
      <c r="E198" s="949"/>
      <c r="F198" s="949"/>
      <c r="G198" s="949"/>
      <c r="H198" s="949"/>
      <c r="I198" s="949"/>
      <c r="J198" s="949"/>
      <c r="K198" s="949"/>
      <c r="L198" s="949"/>
      <c r="M198" s="949"/>
      <c r="N198" s="949"/>
      <c r="O198" s="949"/>
      <c r="P198" s="949"/>
      <c r="Q198" s="949"/>
      <c r="R198" s="949"/>
      <c r="S198" s="949"/>
      <c r="T198" s="949"/>
      <c r="U198" s="949"/>
      <c r="V198" s="949"/>
      <c r="W198" s="949"/>
      <c r="X198" s="949"/>
    </row>
    <row r="199" spans="5:24">
      <c r="E199" s="949"/>
      <c r="F199" s="949"/>
      <c r="G199" s="949"/>
      <c r="H199" s="949"/>
      <c r="I199" s="949"/>
      <c r="J199" s="949"/>
      <c r="K199" s="949"/>
      <c r="L199" s="949"/>
      <c r="M199" s="949"/>
      <c r="N199" s="949"/>
      <c r="O199" s="949"/>
      <c r="P199" s="949"/>
      <c r="Q199" s="949"/>
      <c r="R199" s="949"/>
      <c r="S199" s="949"/>
      <c r="T199" s="949"/>
      <c r="U199" s="949"/>
      <c r="V199" s="949"/>
      <c r="W199" s="949"/>
      <c r="X199" s="949"/>
    </row>
    <row r="200" spans="5:24">
      <c r="E200" s="949"/>
      <c r="F200" s="949"/>
      <c r="G200" s="949"/>
      <c r="H200" s="949"/>
      <c r="I200" s="949"/>
      <c r="J200" s="949"/>
      <c r="K200" s="949"/>
      <c r="L200" s="949"/>
      <c r="M200" s="949"/>
      <c r="N200" s="949"/>
      <c r="O200" s="949"/>
      <c r="P200" s="949"/>
      <c r="Q200" s="949"/>
      <c r="R200" s="949"/>
      <c r="S200" s="949"/>
      <c r="T200" s="949"/>
      <c r="U200" s="949"/>
      <c r="V200" s="949"/>
      <c r="W200" s="949"/>
      <c r="X200" s="949"/>
    </row>
    <row r="201" spans="5:24">
      <c r="E201" s="949"/>
      <c r="F201" s="949"/>
      <c r="G201" s="949"/>
      <c r="H201" s="949"/>
      <c r="I201" s="949"/>
      <c r="J201" s="949"/>
      <c r="K201" s="949"/>
      <c r="L201" s="949"/>
      <c r="M201" s="949"/>
      <c r="N201" s="949"/>
      <c r="O201" s="949"/>
      <c r="X201" s="949"/>
    </row>
    <row r="202" spans="5:24">
      <c r="E202" s="949"/>
      <c r="F202" s="949"/>
      <c r="G202" s="949"/>
      <c r="H202" s="949"/>
      <c r="I202" s="949"/>
      <c r="J202" s="949"/>
      <c r="K202" s="949"/>
      <c r="L202" s="949"/>
      <c r="M202" s="949"/>
      <c r="N202" s="949"/>
      <c r="O202" s="949"/>
      <c r="X202" s="949"/>
    </row>
    <row r="203" spans="5:24">
      <c r="E203" s="949"/>
      <c r="F203" s="949"/>
      <c r="G203" s="949"/>
      <c r="H203" s="949"/>
      <c r="I203" s="949"/>
      <c r="J203" s="949"/>
      <c r="K203" s="949"/>
      <c r="L203" s="949"/>
      <c r="M203" s="949"/>
      <c r="N203" s="949"/>
      <c r="O203" s="949"/>
      <c r="X203" s="949"/>
    </row>
    <row r="204" spans="5:24">
      <c r="E204" s="949"/>
    </row>
    <row r="205" spans="5:24">
      <c r="E205" s="949"/>
    </row>
    <row r="206" spans="5:24">
      <c r="E206" s="949"/>
    </row>
    <row r="207" spans="5:24">
      <c r="E207" s="949"/>
    </row>
    <row r="208" spans="5:24">
      <c r="E208" s="949"/>
    </row>
    <row r="209" spans="5:5">
      <c r="E209" s="949"/>
    </row>
    <row r="210" spans="5:5">
      <c r="E210" s="949"/>
    </row>
  </sheetData>
  <mergeCells count="7">
    <mergeCell ref="A78:E78"/>
    <mergeCell ref="A1:E1"/>
    <mergeCell ref="D8:D9"/>
    <mergeCell ref="E8:E9"/>
    <mergeCell ref="D10:D11"/>
    <mergeCell ref="E10:E11"/>
    <mergeCell ref="A77:E77"/>
  </mergeCells>
  <phoneticPr fontId="109" type="noConversion"/>
  <pageMargins left="0.19685039370078741" right="0.19685039370078741" top="0.59055118110236227" bottom="0.47244094488188981" header="0.51181102362204722" footer="0.19685039370078741"/>
  <pageSetup paperSize="9" scale="85" orientation="portrait" r:id="rId1"/>
  <headerFooter alignWithMargins="0">
    <oddFooter>&amp;C&amp;12ภาระงานวิจัย&amp;Rหน้า &amp;P</oddFooter>
  </headerFooter>
  <colBreaks count="1" manualBreakCount="1">
    <brk id="5" max="7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7030A0"/>
  </sheetPr>
  <dimension ref="A1:E64"/>
  <sheetViews>
    <sheetView showGridLines="0" topLeftCell="A44" workbookViewId="0">
      <selection activeCell="F50" sqref="F50"/>
    </sheetView>
  </sheetViews>
  <sheetFormatPr defaultRowHeight="22.5"/>
  <cols>
    <col min="1" max="1" width="3.7109375" style="1116" customWidth="1"/>
    <col min="2" max="2" width="38.42578125" style="896" customWidth="1"/>
    <col min="3" max="3" width="24.7109375" style="896" customWidth="1"/>
    <col min="4" max="4" width="17.5703125" style="896" customWidth="1"/>
    <col min="5" max="5" width="27.140625" style="896" customWidth="1"/>
    <col min="6" max="16384" width="9.140625" style="896"/>
  </cols>
  <sheetData>
    <row r="1" spans="1:5" ht="27.75" customHeight="1">
      <c r="A1" s="1431" t="s">
        <v>993</v>
      </c>
      <c r="B1" s="1431"/>
      <c r="C1" s="1431"/>
      <c r="D1" s="1431"/>
      <c r="E1" s="1431"/>
    </row>
    <row r="2" spans="1:5" ht="24.75">
      <c r="A2" s="962"/>
      <c r="B2" s="963" t="s">
        <v>1338</v>
      </c>
      <c r="C2" s="967" t="s">
        <v>1044</v>
      </c>
      <c r="D2" s="963" t="s">
        <v>0</v>
      </c>
      <c r="E2" s="1118" t="s">
        <v>474</v>
      </c>
    </row>
    <row r="3" spans="1:5" ht="27.75">
      <c r="A3" s="1119" t="s">
        <v>194</v>
      </c>
      <c r="B3" s="974"/>
      <c r="C3" s="975"/>
      <c r="D3" s="1120" t="s">
        <v>195</v>
      </c>
      <c r="E3" s="905"/>
    </row>
    <row r="4" spans="1:5" ht="51.75" customHeight="1">
      <c r="A4" s="1084"/>
      <c r="B4" s="980" t="s">
        <v>196</v>
      </c>
      <c r="C4" s="1121" t="s">
        <v>197</v>
      </c>
      <c r="D4" s="1122">
        <v>3</v>
      </c>
      <c r="E4" s="1044" t="s">
        <v>198</v>
      </c>
    </row>
    <row r="5" spans="1:5" ht="50.25" customHeight="1">
      <c r="A5" s="1084"/>
      <c r="B5" s="980" t="s">
        <v>199</v>
      </c>
      <c r="C5" s="1121" t="s">
        <v>197</v>
      </c>
      <c r="D5" s="1122">
        <v>1</v>
      </c>
      <c r="E5" s="1123" t="s">
        <v>200</v>
      </c>
    </row>
    <row r="6" spans="1:5" ht="24.75">
      <c r="A6" s="1084"/>
      <c r="B6" s="985" t="s">
        <v>201</v>
      </c>
      <c r="C6" s="903"/>
      <c r="D6" s="903"/>
      <c r="E6" s="905"/>
    </row>
    <row r="7" spans="1:5" ht="24.75">
      <c r="A7" s="1084"/>
      <c r="B7" s="980" t="s">
        <v>202</v>
      </c>
      <c r="C7" s="1124" t="s">
        <v>203</v>
      </c>
      <c r="D7" s="1122">
        <v>1</v>
      </c>
      <c r="E7" s="905"/>
    </row>
    <row r="8" spans="1:5" ht="45">
      <c r="A8" s="1084"/>
      <c r="B8" s="980" t="s">
        <v>204</v>
      </c>
      <c r="C8" s="1124" t="s">
        <v>203</v>
      </c>
      <c r="D8" s="1122">
        <v>1.3</v>
      </c>
      <c r="E8" s="1125" t="s">
        <v>205</v>
      </c>
    </row>
    <row r="9" spans="1:5" ht="24.75">
      <c r="A9" s="1126"/>
      <c r="B9" s="985" t="s">
        <v>418</v>
      </c>
      <c r="C9" s="903"/>
      <c r="D9" s="903"/>
      <c r="E9" s="905"/>
    </row>
    <row r="10" spans="1:5" ht="39.75" customHeight="1">
      <c r="A10" s="1126"/>
      <c r="B10" s="980"/>
      <c r="C10" s="1124" t="s">
        <v>419</v>
      </c>
      <c r="D10" s="1122">
        <v>1</v>
      </c>
      <c r="E10" s="905"/>
    </row>
    <row r="11" spans="1:5" ht="102" customHeight="1">
      <c r="A11" s="1084"/>
      <c r="B11" s="980" t="s">
        <v>1001</v>
      </c>
      <c r="C11" s="1121" t="s">
        <v>108</v>
      </c>
      <c r="D11" s="1122">
        <v>1</v>
      </c>
      <c r="E11" s="1044"/>
    </row>
    <row r="12" spans="1:5" ht="24.75">
      <c r="A12" s="977"/>
      <c r="B12" s="980" t="s">
        <v>420</v>
      </c>
      <c r="C12" s="1121" t="s">
        <v>108</v>
      </c>
      <c r="D12" s="1122">
        <v>1</v>
      </c>
      <c r="E12" s="1044" t="s">
        <v>465</v>
      </c>
    </row>
    <row r="13" spans="1:5" ht="29.25" customHeight="1">
      <c r="A13" s="977"/>
      <c r="B13" s="974" t="s">
        <v>421</v>
      </c>
      <c r="C13" s="1127" t="s">
        <v>206</v>
      </c>
      <c r="D13" s="1128">
        <v>5</v>
      </c>
      <c r="E13" s="905" t="s">
        <v>207</v>
      </c>
    </row>
    <row r="14" spans="1:5" ht="29.25" customHeight="1">
      <c r="A14" s="977"/>
      <c r="B14" s="1090" t="s">
        <v>422</v>
      </c>
      <c r="C14" s="1026"/>
      <c r="D14" s="1182"/>
      <c r="E14" s="1183"/>
    </row>
    <row r="15" spans="1:5" ht="29.25" customHeight="1">
      <c r="A15" s="1084"/>
      <c r="B15" s="1090" t="s">
        <v>1254</v>
      </c>
      <c r="C15" s="1129" t="s">
        <v>620</v>
      </c>
      <c r="D15" s="1130">
        <v>4</v>
      </c>
      <c r="E15" s="1183" t="s">
        <v>1255</v>
      </c>
    </row>
    <row r="16" spans="1:5" ht="29.25" customHeight="1">
      <c r="A16" s="1084"/>
      <c r="B16" s="1090" t="s">
        <v>1256</v>
      </c>
      <c r="C16" s="1129" t="s">
        <v>621</v>
      </c>
      <c r="D16" s="1130">
        <v>5</v>
      </c>
      <c r="E16" s="1183" t="s">
        <v>1255</v>
      </c>
    </row>
    <row r="17" spans="1:5" ht="29.25" customHeight="1">
      <c r="A17" s="1084"/>
      <c r="B17" s="1090"/>
      <c r="C17" s="1129"/>
      <c r="D17" s="1130"/>
      <c r="E17" s="1184" t="s">
        <v>210</v>
      </c>
    </row>
    <row r="18" spans="1:5" ht="29.25" customHeight="1">
      <c r="A18" s="1084"/>
      <c r="B18" s="1090" t="s">
        <v>1257</v>
      </c>
      <c r="C18" s="1129" t="s">
        <v>620</v>
      </c>
      <c r="D18" s="1130">
        <v>4</v>
      </c>
      <c r="E18" s="1183" t="s">
        <v>209</v>
      </c>
    </row>
    <row r="19" spans="1:5" ht="29.25" customHeight="1">
      <c r="A19" s="1084"/>
      <c r="B19" s="1090"/>
      <c r="C19" s="1129" t="s">
        <v>621</v>
      </c>
      <c r="D19" s="1130">
        <f>+D18*1.25</f>
        <v>5</v>
      </c>
      <c r="E19" s="1131" t="s">
        <v>210</v>
      </c>
    </row>
    <row r="20" spans="1:5" ht="24.75">
      <c r="A20" s="977"/>
      <c r="B20" s="980" t="s">
        <v>423</v>
      </c>
      <c r="C20" s="1124" t="s">
        <v>211</v>
      </c>
      <c r="D20" s="1122">
        <v>10</v>
      </c>
      <c r="E20" s="1123" t="s">
        <v>212</v>
      </c>
    </row>
    <row r="21" spans="1:5" ht="27.75" customHeight="1">
      <c r="A21" s="977"/>
      <c r="B21" s="980" t="s">
        <v>424</v>
      </c>
      <c r="C21" s="1124" t="s">
        <v>213</v>
      </c>
      <c r="D21" s="1122">
        <v>2</v>
      </c>
      <c r="E21" s="1123" t="s">
        <v>214</v>
      </c>
    </row>
    <row r="22" spans="1:5" ht="27" customHeight="1">
      <c r="A22" s="1084"/>
      <c r="B22" s="980" t="s">
        <v>425</v>
      </c>
      <c r="C22" s="981"/>
      <c r="D22" s="1032"/>
      <c r="E22" s="905"/>
    </row>
    <row r="23" spans="1:5" ht="27" customHeight="1">
      <c r="A23" s="1084"/>
      <c r="B23" s="980" t="s">
        <v>426</v>
      </c>
      <c r="C23" s="1124" t="s">
        <v>215</v>
      </c>
      <c r="D23" s="1122">
        <v>13</v>
      </c>
      <c r="E23" s="1123" t="s">
        <v>216</v>
      </c>
    </row>
    <row r="24" spans="1:5" ht="27" customHeight="1">
      <c r="A24" s="1084"/>
      <c r="B24" s="980" t="s">
        <v>427</v>
      </c>
      <c r="C24" s="1124" t="s">
        <v>215</v>
      </c>
      <c r="D24" s="1122">
        <v>18</v>
      </c>
      <c r="E24" s="1123" t="s">
        <v>217</v>
      </c>
    </row>
    <row r="25" spans="1:5" ht="27" customHeight="1">
      <c r="A25" s="1084"/>
      <c r="B25" s="980" t="s">
        <v>428</v>
      </c>
      <c r="C25" s="1124" t="s">
        <v>215</v>
      </c>
      <c r="D25" s="1122">
        <v>30</v>
      </c>
      <c r="E25" s="1123" t="s">
        <v>218</v>
      </c>
    </row>
    <row r="26" spans="1:5" ht="31.5" customHeight="1">
      <c r="A26" s="977"/>
      <c r="B26" s="1090" t="s">
        <v>429</v>
      </c>
      <c r="C26" s="1129" t="s">
        <v>219</v>
      </c>
      <c r="D26" s="1130">
        <v>1</v>
      </c>
      <c r="E26" s="1132" t="s">
        <v>220</v>
      </c>
    </row>
    <row r="27" spans="1:5" ht="48.75" customHeight="1">
      <c r="A27" s="1084"/>
      <c r="B27" s="980" t="s">
        <v>430</v>
      </c>
      <c r="C27" s="1121" t="s">
        <v>211</v>
      </c>
      <c r="D27" s="1133">
        <v>6</v>
      </c>
      <c r="E27" s="1044" t="s">
        <v>221</v>
      </c>
    </row>
    <row r="28" spans="1:5" ht="24.75">
      <c r="A28" s="1084"/>
      <c r="B28" s="974" t="s">
        <v>431</v>
      </c>
      <c r="C28" s="1127" t="s">
        <v>222</v>
      </c>
      <c r="D28" s="1128">
        <v>3</v>
      </c>
      <c r="E28" s="1123" t="s">
        <v>223</v>
      </c>
    </row>
    <row r="29" spans="1:5" ht="49.5">
      <c r="A29" s="1084"/>
      <c r="B29" s="1056" t="s">
        <v>432</v>
      </c>
      <c r="C29" s="1124" t="s">
        <v>208</v>
      </c>
      <c r="D29" s="1122">
        <v>6</v>
      </c>
      <c r="E29" s="1044" t="s">
        <v>1000</v>
      </c>
    </row>
    <row r="30" spans="1:5" ht="49.5">
      <c r="A30" s="1084"/>
      <c r="B30" s="1056" t="s">
        <v>433</v>
      </c>
      <c r="C30" s="1124" t="s">
        <v>224</v>
      </c>
      <c r="D30" s="1122">
        <v>3</v>
      </c>
      <c r="E30" s="1123" t="s">
        <v>225</v>
      </c>
    </row>
    <row r="31" spans="1:5" ht="24.75">
      <c r="A31" s="977"/>
      <c r="B31" s="974" t="s">
        <v>434</v>
      </c>
      <c r="C31" s="1134" t="s">
        <v>226</v>
      </c>
      <c r="D31" s="1135"/>
      <c r="E31" s="905"/>
    </row>
    <row r="32" spans="1:5" ht="24.75" customHeight="1">
      <c r="A32" s="977"/>
      <c r="B32" s="1023"/>
      <c r="C32" s="1124" t="s">
        <v>227</v>
      </c>
      <c r="D32" s="1133">
        <v>50</v>
      </c>
      <c r="E32" s="1044" t="s">
        <v>228</v>
      </c>
    </row>
    <row r="33" spans="1:5" ht="24.75">
      <c r="A33" s="977"/>
      <c r="B33" s="1023"/>
      <c r="C33" s="1124" t="s">
        <v>229</v>
      </c>
      <c r="D33" s="1038"/>
      <c r="E33" s="905" t="s">
        <v>230</v>
      </c>
    </row>
    <row r="34" spans="1:5" ht="44.25" customHeight="1">
      <c r="A34" s="977"/>
      <c r="B34" s="1136"/>
      <c r="C34" s="1124" t="s">
        <v>231</v>
      </c>
      <c r="D34" s="1133">
        <v>1</v>
      </c>
      <c r="E34" s="1044" t="s">
        <v>232</v>
      </c>
    </row>
    <row r="35" spans="1:5" ht="30" customHeight="1">
      <c r="A35" s="977"/>
      <c r="B35" s="1137" t="s">
        <v>465</v>
      </c>
      <c r="C35" s="1134" t="s">
        <v>233</v>
      </c>
      <c r="D35" s="1135"/>
      <c r="E35" s="905"/>
    </row>
    <row r="36" spans="1:5" ht="24.75" customHeight="1">
      <c r="A36" s="977"/>
      <c r="B36" s="1023"/>
      <c r="C36" s="1124" t="s">
        <v>227</v>
      </c>
      <c r="D36" s="1133">
        <v>100</v>
      </c>
      <c r="E36" s="1044" t="s">
        <v>228</v>
      </c>
    </row>
    <row r="37" spans="1:5" ht="24.75">
      <c r="A37" s="977"/>
      <c r="B37" s="1023"/>
      <c r="C37" s="1124" t="s">
        <v>229</v>
      </c>
      <c r="D37" s="1038"/>
      <c r="E37" s="905" t="s">
        <v>230</v>
      </c>
    </row>
    <row r="38" spans="1:5" ht="44.25" customHeight="1">
      <c r="A38" s="977"/>
      <c r="B38" s="1136"/>
      <c r="C38" s="1124" t="s">
        <v>231</v>
      </c>
      <c r="D38" s="1133">
        <v>1</v>
      </c>
      <c r="E38" s="1044" t="s">
        <v>232</v>
      </c>
    </row>
    <row r="39" spans="1:5" ht="30" customHeight="1">
      <c r="A39" s="977"/>
      <c r="B39" s="1056" t="s">
        <v>435</v>
      </c>
      <c r="C39" s="1138" t="s">
        <v>226</v>
      </c>
      <c r="D39" s="1135"/>
      <c r="E39" s="905"/>
    </row>
    <row r="40" spans="1:5" ht="26.25" customHeight="1">
      <c r="A40" s="977"/>
      <c r="B40" s="980" t="s">
        <v>234</v>
      </c>
      <c r="C40" s="1124" t="s">
        <v>227</v>
      </c>
      <c r="D40" s="1133">
        <v>100</v>
      </c>
      <c r="E40" s="1044" t="s">
        <v>228</v>
      </c>
    </row>
    <row r="41" spans="1:5" ht="30" customHeight="1">
      <c r="A41" s="977"/>
      <c r="B41" s="974"/>
      <c r="C41" s="1124" t="s">
        <v>235</v>
      </c>
      <c r="D41" s="989"/>
      <c r="E41" s="1123" t="s">
        <v>230</v>
      </c>
    </row>
    <row r="42" spans="1:5" ht="45" customHeight="1">
      <c r="A42" s="977"/>
      <c r="B42" s="974"/>
      <c r="C42" s="1124" t="s">
        <v>236</v>
      </c>
      <c r="D42" s="1133">
        <v>1</v>
      </c>
      <c r="E42" s="1044" t="s">
        <v>237</v>
      </c>
    </row>
    <row r="43" spans="1:5" ht="29.25" customHeight="1">
      <c r="A43" s="977"/>
      <c r="B43" s="980"/>
      <c r="C43" s="1134" t="s">
        <v>233</v>
      </c>
      <c r="D43" s="1135"/>
      <c r="E43" s="905"/>
    </row>
    <row r="44" spans="1:5" ht="49.5" customHeight="1">
      <c r="A44" s="977"/>
      <c r="B44" s="974"/>
      <c r="C44" s="1124" t="s">
        <v>227</v>
      </c>
      <c r="D44" s="1133">
        <v>200</v>
      </c>
      <c r="E44" s="1044" t="s">
        <v>238</v>
      </c>
    </row>
    <row r="45" spans="1:5" ht="29.25" customHeight="1">
      <c r="A45" s="977"/>
      <c r="B45" s="974"/>
      <c r="C45" s="1127" t="s">
        <v>235</v>
      </c>
      <c r="D45" s="989"/>
      <c r="E45" s="905"/>
    </row>
    <row r="46" spans="1:5" ht="43.5" customHeight="1">
      <c r="A46" s="977"/>
      <c r="B46" s="974"/>
      <c r="C46" s="1124" t="s">
        <v>236</v>
      </c>
      <c r="D46" s="1133">
        <v>1</v>
      </c>
      <c r="E46" s="1044" t="s">
        <v>239</v>
      </c>
    </row>
    <row r="47" spans="1:5" ht="76.5" customHeight="1">
      <c r="A47" s="1084"/>
      <c r="B47" s="980" t="s">
        <v>436</v>
      </c>
      <c r="C47" s="1121" t="s">
        <v>240</v>
      </c>
      <c r="D47" s="1133">
        <v>5</v>
      </c>
      <c r="E47" s="1044" t="s">
        <v>241</v>
      </c>
    </row>
    <row r="48" spans="1:5" ht="24.75">
      <c r="A48" s="1084"/>
      <c r="B48" s="1050" t="s">
        <v>437</v>
      </c>
      <c r="C48" s="981"/>
      <c r="D48" s="1054"/>
      <c r="E48" s="905"/>
    </row>
    <row r="49" spans="1:5" ht="46.5" customHeight="1">
      <c r="A49" s="1084"/>
      <c r="B49" s="1139" t="s">
        <v>242</v>
      </c>
      <c r="C49" s="1124" t="s">
        <v>243</v>
      </c>
      <c r="D49" s="1133">
        <v>1</v>
      </c>
      <c r="E49" s="1044" t="s">
        <v>244</v>
      </c>
    </row>
    <row r="50" spans="1:5" ht="49.5">
      <c r="A50" s="1140"/>
      <c r="B50" s="980" t="s">
        <v>1186</v>
      </c>
      <c r="C50" s="1121" t="s">
        <v>243</v>
      </c>
      <c r="D50" s="1122">
        <v>1</v>
      </c>
      <c r="E50" s="1148"/>
    </row>
    <row r="51" spans="1:5" ht="49.5">
      <c r="A51" s="1084"/>
      <c r="B51" s="980" t="s">
        <v>1188</v>
      </c>
      <c r="C51" s="989"/>
      <c r="D51" s="1032"/>
      <c r="E51" s="1148"/>
    </row>
    <row r="52" spans="1:5" ht="99">
      <c r="A52" s="1140"/>
      <c r="B52" s="980" t="s">
        <v>1187</v>
      </c>
      <c r="C52" s="1121" t="s">
        <v>243</v>
      </c>
      <c r="D52" s="1122">
        <v>1</v>
      </c>
      <c r="E52" s="905"/>
    </row>
    <row r="53" spans="1:5" ht="60" customHeight="1">
      <c r="A53" s="1084"/>
      <c r="B53" s="980" t="s">
        <v>1033</v>
      </c>
      <c r="C53" s="989"/>
      <c r="D53" s="1032"/>
      <c r="E53" s="905"/>
    </row>
    <row r="54" spans="1:5" ht="49.5">
      <c r="A54" s="1084"/>
      <c r="B54" s="1031" t="s">
        <v>440</v>
      </c>
      <c r="C54" s="1121"/>
      <c r="D54" s="1141"/>
      <c r="E54" s="1142" t="s">
        <v>438</v>
      </c>
    </row>
    <row r="55" spans="1:5" ht="67.5">
      <c r="A55" s="1084"/>
      <c r="B55" s="1031" t="s">
        <v>442</v>
      </c>
      <c r="C55" s="1121" t="s">
        <v>213</v>
      </c>
      <c r="D55" s="1141" t="s">
        <v>441</v>
      </c>
      <c r="E55" s="1047" t="s">
        <v>439</v>
      </c>
    </row>
    <row r="56" spans="1:5" ht="49.5">
      <c r="A56" s="1084"/>
      <c r="B56" s="1031" t="s">
        <v>443</v>
      </c>
      <c r="C56" s="1121" t="s">
        <v>444</v>
      </c>
      <c r="D56" s="1143">
        <v>3</v>
      </c>
      <c r="E56" s="1142"/>
    </row>
    <row r="57" spans="1:5" ht="50.25" customHeight="1">
      <c r="A57" s="1084"/>
      <c r="B57" s="1031" t="s">
        <v>445</v>
      </c>
      <c r="C57" s="1121" t="s">
        <v>245</v>
      </c>
      <c r="D57" s="1122">
        <v>1</v>
      </c>
      <c r="E57" s="905"/>
    </row>
    <row r="58" spans="1:5" ht="48.75" customHeight="1">
      <c r="A58" s="1084"/>
      <c r="B58" s="1031" t="s">
        <v>1089</v>
      </c>
      <c r="C58" s="1121" t="s">
        <v>1040</v>
      </c>
      <c r="D58" s="1122">
        <v>0.33</v>
      </c>
      <c r="E58" s="1044" t="s">
        <v>246</v>
      </c>
    </row>
    <row r="59" spans="1:5" ht="74.25">
      <c r="A59" s="1103"/>
      <c r="B59" s="1060" t="s">
        <v>446</v>
      </c>
      <c r="C59" s="1144" t="s">
        <v>245</v>
      </c>
      <c r="D59" s="1145" t="s">
        <v>192</v>
      </c>
      <c r="E59" s="1146" t="s">
        <v>247</v>
      </c>
    </row>
    <row r="60" spans="1:5" ht="24.75" hidden="1" customHeight="1">
      <c r="A60" s="977" t="s">
        <v>248</v>
      </c>
      <c r="B60" s="1147"/>
      <c r="C60" s="1033"/>
      <c r="D60" s="1115"/>
    </row>
    <row r="61" spans="1:5" ht="24.75" hidden="1" customHeight="1">
      <c r="A61" s="977" t="s">
        <v>249</v>
      </c>
      <c r="B61" s="1147"/>
      <c r="C61" s="1033"/>
      <c r="D61" s="1115"/>
    </row>
    <row r="62" spans="1:5" ht="0.75" hidden="1" customHeight="1">
      <c r="A62" s="977" t="s">
        <v>250</v>
      </c>
      <c r="B62" s="1033"/>
      <c r="C62" s="1033"/>
      <c r="D62" s="1115"/>
    </row>
    <row r="63" spans="1:5" ht="0.75" hidden="1" customHeight="1">
      <c r="A63" s="977" t="s">
        <v>251</v>
      </c>
      <c r="B63" s="1033"/>
      <c r="C63" s="1033"/>
      <c r="D63" s="1115"/>
    </row>
    <row r="64" spans="1:5" ht="22.5" hidden="1" customHeight="1">
      <c r="A64" s="977"/>
      <c r="B64" s="1033"/>
      <c r="C64" s="1033"/>
      <c r="D64" s="1115"/>
    </row>
  </sheetData>
  <mergeCells count="1">
    <mergeCell ref="A1:E1"/>
  </mergeCells>
  <phoneticPr fontId="109" type="noConversion"/>
  <pageMargins left="0.27559055118110237" right="0.27559055118110237" top="0.74803149606299213" bottom="0.43307086614173229" header="0.51181102362204722" footer="0.15748031496062992"/>
  <pageSetup paperSize="9" scale="90" orientation="portrait" r:id="rId1"/>
  <headerFooter alignWithMargins="0">
    <oddFooter>&amp;C&amp;12ภาระงานบริการ&amp;Rหน้า &amp;P</oddFooter>
  </headerFooter>
  <rowBreaks count="1" manualBreakCount="1">
    <brk id="47" max="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7030A0"/>
  </sheetPr>
  <dimension ref="A1:G41"/>
  <sheetViews>
    <sheetView showGridLines="0" workbookViewId="0">
      <selection activeCell="I10" sqref="I10"/>
    </sheetView>
  </sheetViews>
  <sheetFormatPr defaultRowHeight="22.5"/>
  <cols>
    <col min="1" max="1" width="3.28515625" style="41" customWidth="1"/>
    <col min="2" max="2" width="26.140625" style="24" customWidth="1"/>
    <col min="3" max="3" width="31.42578125" style="24" customWidth="1"/>
    <col min="4" max="4" width="16.85546875" style="24" customWidth="1"/>
    <col min="5" max="5" width="33.5703125" style="24" customWidth="1"/>
    <col min="6" max="16384" width="9.140625" style="24"/>
  </cols>
  <sheetData>
    <row r="1" spans="1:5" ht="27.75" customHeight="1">
      <c r="A1" s="1432" t="s">
        <v>994</v>
      </c>
      <c r="B1" s="1432"/>
      <c r="C1" s="1433"/>
      <c r="D1" s="1433"/>
      <c r="E1" s="1433"/>
    </row>
    <row r="2" spans="1:5" ht="24.75">
      <c r="A2" s="42"/>
      <c r="B2" s="28" t="s">
        <v>1338</v>
      </c>
      <c r="C2" s="29" t="s">
        <v>252</v>
      </c>
      <c r="D2" s="28" t="s">
        <v>0</v>
      </c>
      <c r="E2" s="47" t="s">
        <v>474</v>
      </c>
    </row>
    <row r="3" spans="1:5" ht="20.25" customHeight="1">
      <c r="A3" s="48"/>
      <c r="B3" s="49"/>
      <c r="C3" s="30"/>
      <c r="D3" s="43" t="s">
        <v>195</v>
      </c>
      <c r="E3" s="31"/>
    </row>
    <row r="4" spans="1:5" ht="24.75">
      <c r="A4" s="50" t="s">
        <v>253</v>
      </c>
      <c r="B4" s="33"/>
      <c r="C4" s="33"/>
      <c r="D4" s="36"/>
      <c r="E4" s="51"/>
    </row>
    <row r="5" spans="1:5" ht="52.5" customHeight="1">
      <c r="A5" s="37"/>
      <c r="B5" s="40" t="s">
        <v>1035</v>
      </c>
      <c r="C5" s="35" t="s">
        <v>254</v>
      </c>
      <c r="D5" s="57">
        <v>22.5</v>
      </c>
      <c r="E5" s="26" t="s">
        <v>255</v>
      </c>
    </row>
    <row r="6" spans="1:5" ht="49.5" customHeight="1">
      <c r="A6" s="34"/>
      <c r="B6" s="40" t="s">
        <v>1034</v>
      </c>
      <c r="C6" s="45" t="s">
        <v>256</v>
      </c>
      <c r="D6" s="74">
        <v>15</v>
      </c>
      <c r="E6" s="620" t="s">
        <v>447</v>
      </c>
    </row>
    <row r="7" spans="1:5" ht="53.25" hidden="1" customHeight="1">
      <c r="A7" s="34"/>
      <c r="B7" s="40" t="s">
        <v>257</v>
      </c>
      <c r="C7" s="52" t="s">
        <v>258</v>
      </c>
      <c r="D7" s="53">
        <v>20</v>
      </c>
      <c r="E7" s="54" t="s">
        <v>259</v>
      </c>
    </row>
    <row r="8" spans="1:5" ht="81.75" hidden="1" customHeight="1">
      <c r="A8" s="34"/>
      <c r="B8" s="55"/>
      <c r="C8" s="45" t="s">
        <v>260</v>
      </c>
      <c r="D8" s="56">
        <v>18</v>
      </c>
      <c r="E8" s="26" t="s">
        <v>261</v>
      </c>
    </row>
    <row r="9" spans="1:5" ht="46.5">
      <c r="A9" s="34"/>
      <c r="B9" s="40" t="s">
        <v>262</v>
      </c>
      <c r="C9" s="45" t="s">
        <v>263</v>
      </c>
      <c r="D9" s="74">
        <v>525</v>
      </c>
      <c r="E9" s="26" t="s">
        <v>264</v>
      </c>
    </row>
    <row r="10" spans="1:5" ht="75.75" customHeight="1">
      <c r="A10" s="34"/>
      <c r="B10" s="40"/>
      <c r="C10" s="45" t="s">
        <v>265</v>
      </c>
      <c r="D10" s="57">
        <v>472.5</v>
      </c>
      <c r="E10" s="26" t="s">
        <v>266</v>
      </c>
    </row>
    <row r="11" spans="1:5" ht="75" customHeight="1">
      <c r="A11" s="34"/>
      <c r="B11" s="40"/>
      <c r="C11" s="45" t="s">
        <v>267</v>
      </c>
      <c r="D11" s="74">
        <v>300</v>
      </c>
      <c r="E11" s="26" t="s">
        <v>268</v>
      </c>
    </row>
    <row r="12" spans="1:5" ht="74.25">
      <c r="A12" s="34"/>
      <c r="B12" s="40"/>
      <c r="C12" s="45" t="s">
        <v>269</v>
      </c>
      <c r="D12" s="74">
        <v>150</v>
      </c>
      <c r="E12" s="26" t="s">
        <v>270</v>
      </c>
    </row>
    <row r="13" spans="1:5" ht="74.25">
      <c r="A13" s="34"/>
      <c r="B13" s="40" t="s">
        <v>465</v>
      </c>
      <c r="C13" s="45" t="s">
        <v>1088</v>
      </c>
      <c r="D13" s="74">
        <v>75</v>
      </c>
      <c r="E13" s="58" t="s">
        <v>271</v>
      </c>
    </row>
    <row r="14" spans="1:5" ht="24.75" customHeight="1">
      <c r="A14" s="34"/>
      <c r="B14" s="1434" t="s">
        <v>272</v>
      </c>
      <c r="C14" s="59" t="s">
        <v>273</v>
      </c>
      <c r="D14" s="621">
        <v>1</v>
      </c>
      <c r="E14" s="58" t="s">
        <v>274</v>
      </c>
    </row>
    <row r="15" spans="1:5" ht="25.5" customHeight="1">
      <c r="A15" s="34"/>
      <c r="B15" s="1434"/>
      <c r="C15" s="619" t="s">
        <v>275</v>
      </c>
      <c r="D15" s="27"/>
      <c r="E15" s="26" t="s">
        <v>276</v>
      </c>
    </row>
    <row r="16" spans="1:5" ht="26.25" customHeight="1">
      <c r="A16" s="37"/>
      <c r="B16" s="1435"/>
      <c r="C16" s="38" t="s">
        <v>277</v>
      </c>
      <c r="D16" s="39">
        <v>1.3</v>
      </c>
      <c r="E16" s="61" t="s">
        <v>278</v>
      </c>
    </row>
    <row r="17" spans="1:7" ht="26.25" customHeight="1">
      <c r="A17" s="37"/>
      <c r="B17" s="1435"/>
      <c r="C17" s="619" t="s">
        <v>275</v>
      </c>
      <c r="D17" s="60"/>
      <c r="E17" s="61" t="s">
        <v>701</v>
      </c>
    </row>
    <row r="18" spans="1:7" ht="26.25" customHeight="1">
      <c r="A18" s="37"/>
      <c r="B18" s="1435"/>
      <c r="C18" s="44"/>
      <c r="D18" s="60"/>
      <c r="E18" s="61"/>
    </row>
    <row r="19" spans="1:7" ht="24.75">
      <c r="A19" s="37"/>
      <c r="B19" s="40" t="s">
        <v>448</v>
      </c>
      <c r="C19" s="45" t="s">
        <v>279</v>
      </c>
      <c r="D19" s="74">
        <v>135</v>
      </c>
      <c r="E19" s="623"/>
      <c r="G19" s="62"/>
    </row>
    <row r="20" spans="1:7" ht="24.75">
      <c r="A20" s="37"/>
      <c r="B20" s="40" t="s">
        <v>449</v>
      </c>
      <c r="C20" s="45" t="s">
        <v>1207</v>
      </c>
      <c r="D20" s="74">
        <v>90</v>
      </c>
      <c r="E20" s="623"/>
      <c r="G20" s="62"/>
    </row>
    <row r="21" spans="1:7" ht="24.75">
      <c r="A21" s="37"/>
      <c r="B21" s="40" t="s">
        <v>1209</v>
      </c>
      <c r="C21" s="45" t="s">
        <v>1208</v>
      </c>
      <c r="D21" s="74"/>
      <c r="E21" s="623"/>
      <c r="G21" s="62"/>
    </row>
    <row r="22" spans="1:7" ht="24.75">
      <c r="A22" s="37"/>
      <c r="B22" s="40" t="s">
        <v>1210</v>
      </c>
      <c r="C22" s="45" t="s">
        <v>450</v>
      </c>
      <c r="D22" s="74">
        <v>90</v>
      </c>
      <c r="E22" s="623"/>
    </row>
    <row r="23" spans="1:7" ht="24.75">
      <c r="A23" s="37"/>
      <c r="B23" s="40"/>
      <c r="C23" s="45" t="s">
        <v>451</v>
      </c>
      <c r="D23" s="74">
        <v>45</v>
      </c>
      <c r="E23" s="623"/>
    </row>
    <row r="24" spans="1:7" ht="24.75">
      <c r="A24" s="37"/>
      <c r="B24" s="40"/>
      <c r="C24" s="45" t="s">
        <v>452</v>
      </c>
      <c r="D24" s="618"/>
      <c r="E24" s="27" t="s">
        <v>280</v>
      </c>
    </row>
    <row r="25" spans="1:7" ht="24.75">
      <c r="A25" s="34"/>
      <c r="B25" s="40"/>
      <c r="C25" s="44" t="s">
        <v>203</v>
      </c>
      <c r="D25" s="74">
        <v>1</v>
      </c>
      <c r="E25" s="58"/>
    </row>
    <row r="26" spans="1:7" ht="49.5">
      <c r="A26" s="34"/>
      <c r="B26" s="40" t="s">
        <v>1146</v>
      </c>
      <c r="C26" s="38" t="s">
        <v>1147</v>
      </c>
      <c r="D26" s="74">
        <v>135</v>
      </c>
      <c r="E26" s="58"/>
    </row>
    <row r="27" spans="1:7" ht="24.75" customHeight="1">
      <c r="A27" s="34"/>
      <c r="B27" s="40" t="s">
        <v>1145</v>
      </c>
      <c r="C27" s="59" t="s">
        <v>1150</v>
      </c>
      <c r="D27" s="621">
        <v>10</v>
      </c>
      <c r="E27" s="58"/>
    </row>
    <row r="28" spans="1:7" ht="25.5" customHeight="1">
      <c r="A28" s="34"/>
      <c r="B28" s="40" t="s">
        <v>281</v>
      </c>
      <c r="C28" s="44" t="s">
        <v>282</v>
      </c>
      <c r="D28" s="707"/>
      <c r="E28" s="26"/>
    </row>
    <row r="29" spans="1:7" ht="26.25" customHeight="1">
      <c r="A29" s="37"/>
      <c r="B29" s="40" t="s">
        <v>283</v>
      </c>
      <c r="C29" s="32"/>
      <c r="D29" s="707"/>
      <c r="E29" s="61"/>
    </row>
    <row r="30" spans="1:7" ht="26.25" customHeight="1">
      <c r="A30" s="37"/>
      <c r="B30" s="622"/>
      <c r="C30" s="38" t="s">
        <v>1151</v>
      </c>
      <c r="D30" s="708">
        <v>1</v>
      </c>
      <c r="E30" s="61"/>
    </row>
    <row r="31" spans="1:7" ht="24.75" customHeight="1">
      <c r="A31" s="37"/>
      <c r="B31" s="622"/>
      <c r="C31" s="44" t="s">
        <v>282</v>
      </c>
      <c r="D31" s="708"/>
      <c r="E31" s="61"/>
    </row>
    <row r="32" spans="1:7" ht="26.25" customHeight="1">
      <c r="A32" s="37"/>
      <c r="B32" s="622"/>
      <c r="C32" s="38" t="s">
        <v>1154</v>
      </c>
      <c r="D32" s="708">
        <v>1</v>
      </c>
      <c r="E32" s="61"/>
    </row>
    <row r="33" spans="1:7" ht="24.75" customHeight="1">
      <c r="A33" s="37"/>
      <c r="B33" s="622"/>
      <c r="C33" s="44" t="s">
        <v>282</v>
      </c>
      <c r="D33" s="708"/>
      <c r="E33" s="61"/>
    </row>
    <row r="34" spans="1:7" ht="26.25" customHeight="1">
      <c r="A34" s="37"/>
      <c r="B34" s="622"/>
      <c r="C34" s="38" t="s">
        <v>1155</v>
      </c>
      <c r="D34" s="708">
        <v>10</v>
      </c>
      <c r="E34" s="61"/>
    </row>
    <row r="35" spans="1:7" ht="24.75" customHeight="1">
      <c r="A35" s="37"/>
      <c r="B35" s="622"/>
      <c r="C35" s="44" t="s">
        <v>282</v>
      </c>
      <c r="D35" s="708"/>
      <c r="E35" s="61"/>
    </row>
    <row r="36" spans="1:7" ht="25.5" customHeight="1">
      <c r="A36" s="34"/>
      <c r="B36" s="1434" t="s">
        <v>1148</v>
      </c>
      <c r="C36" s="59" t="s">
        <v>1152</v>
      </c>
      <c r="D36" s="621">
        <v>10</v>
      </c>
      <c r="E36" s="58"/>
    </row>
    <row r="37" spans="1:7" ht="26.25" customHeight="1">
      <c r="A37" s="34"/>
      <c r="B37" s="1434"/>
      <c r="C37" s="44" t="s">
        <v>282</v>
      </c>
      <c r="D37" s="707"/>
      <c r="E37" s="26"/>
    </row>
    <row r="38" spans="1:7" ht="26.25" customHeight="1">
      <c r="A38" s="37"/>
      <c r="B38" s="1435"/>
      <c r="C38" s="38" t="s">
        <v>1153</v>
      </c>
      <c r="D38" s="708">
        <v>3</v>
      </c>
      <c r="E38" s="61"/>
    </row>
    <row r="39" spans="1:7" ht="24.75">
      <c r="A39" s="37"/>
      <c r="B39" s="1435"/>
      <c r="C39" s="44" t="s">
        <v>282</v>
      </c>
      <c r="D39" s="60"/>
      <c r="E39" s="61"/>
      <c r="G39" s="25"/>
    </row>
    <row r="40" spans="1:7" ht="49.5">
      <c r="A40" s="63"/>
      <c r="B40" s="46" t="s">
        <v>1149</v>
      </c>
      <c r="C40" s="64" t="s">
        <v>108</v>
      </c>
      <c r="D40" s="65" t="s">
        <v>192</v>
      </c>
      <c r="E40" s="46" t="s">
        <v>284</v>
      </c>
    </row>
    <row r="41" spans="1:7" ht="24.75">
      <c r="A41" s="66"/>
      <c r="B41" s="25"/>
      <c r="C41" s="25"/>
      <c r="D41" s="25"/>
      <c r="E41" s="25"/>
    </row>
  </sheetData>
  <mergeCells count="3">
    <mergeCell ref="A1:E1"/>
    <mergeCell ref="B14:B18"/>
    <mergeCell ref="B36:B39"/>
  </mergeCells>
  <phoneticPr fontId="77" type="noConversion"/>
  <pageMargins left="0.31496062992125984" right="0.19685039370078741" top="0.70866141732283472" bottom="0.47244094488188981" header="0.39370078740157483" footer="0.35433070866141736"/>
  <pageSetup paperSize="9" scale="90" orientation="portrait" r:id="rId1"/>
  <headerFooter alignWithMargins="0">
    <oddFooter>&amp;C&amp;12ภาระงานอื่นๆ&amp;Rหน้า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0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1"/>
  </sheetPr>
  <dimension ref="A1:L115"/>
  <sheetViews>
    <sheetView topLeftCell="A46" workbookViewId="0">
      <selection activeCell="F106" sqref="F106"/>
    </sheetView>
  </sheetViews>
  <sheetFormatPr defaultColWidth="7.28515625" defaultRowHeight="21"/>
  <cols>
    <col min="1" max="1" width="31.140625" style="428" customWidth="1"/>
    <col min="2" max="2" width="9.85546875" style="427" customWidth="1"/>
    <col min="3" max="3" width="11.42578125" style="431" customWidth="1"/>
    <col min="4" max="4" width="10.85546875" style="427" customWidth="1"/>
    <col min="5" max="5" width="9.28515625" style="427" customWidth="1"/>
    <col min="6" max="6" width="10.140625" style="427" customWidth="1"/>
    <col min="7" max="7" width="9.42578125" style="428" customWidth="1"/>
    <col min="8" max="8" width="8.85546875" style="427" customWidth="1"/>
    <col min="9" max="9" width="11" style="411" customWidth="1"/>
    <col min="10" max="10" width="11.42578125" style="411" customWidth="1"/>
    <col min="11" max="11" width="11.140625" style="411" customWidth="1"/>
    <col min="12" max="12" width="9.140625" style="411" customWidth="1"/>
    <col min="13" max="16384" width="7.28515625" style="411"/>
  </cols>
  <sheetData>
    <row r="1" spans="1:11" s="713" customFormat="1" ht="15.75">
      <c r="A1" s="1361" t="s">
        <v>1215</v>
      </c>
      <c r="B1" s="1361"/>
      <c r="C1" s="1361"/>
      <c r="D1" s="1361"/>
      <c r="E1" s="1361"/>
      <c r="F1" s="1361"/>
      <c r="G1" s="1361"/>
      <c r="H1" s="1361"/>
      <c r="I1" s="1361"/>
      <c r="J1" s="1361"/>
      <c r="K1" s="1361"/>
    </row>
    <row r="2" spans="1:11" s="713" customFormat="1" ht="15.75">
      <c r="A2" s="1361" t="s">
        <v>461</v>
      </c>
      <c r="B2" s="1361"/>
      <c r="C2" s="1361"/>
      <c r="D2" s="1361"/>
      <c r="E2" s="1361"/>
      <c r="F2" s="1361"/>
      <c r="G2" s="1361"/>
      <c r="H2" s="1361"/>
      <c r="I2" s="1361"/>
      <c r="J2" s="1361"/>
      <c r="K2" s="1361"/>
    </row>
    <row r="3" spans="1:11" s="713" customFormat="1" ht="15.75">
      <c r="A3" s="1362" t="s">
        <v>1266</v>
      </c>
      <c r="B3" s="1362"/>
      <c r="C3" s="1362"/>
      <c r="D3" s="1362"/>
      <c r="E3" s="1362"/>
      <c r="F3" s="1362"/>
      <c r="G3" s="1362"/>
      <c r="H3" s="1362"/>
      <c r="I3" s="1362"/>
      <c r="J3" s="1362"/>
      <c r="K3" s="1362"/>
    </row>
    <row r="4" spans="1:11" s="713" customFormat="1" ht="15.75">
      <c r="A4" s="310"/>
      <c r="B4" s="310"/>
      <c r="C4" s="310"/>
      <c r="D4" s="310"/>
      <c r="E4" s="310"/>
      <c r="F4" s="310"/>
      <c r="G4" s="310"/>
      <c r="H4" s="310"/>
      <c r="I4" s="310"/>
      <c r="J4" s="310"/>
      <c r="K4" s="310"/>
    </row>
    <row r="5" spans="1:11" s="318" customFormat="1" ht="12.75">
      <c r="A5" s="651" t="s">
        <v>618</v>
      </c>
      <c r="B5" s="315"/>
      <c r="C5" s="317"/>
      <c r="D5" s="311"/>
      <c r="E5" s="311"/>
      <c r="F5" s="311"/>
      <c r="G5" s="311"/>
      <c r="H5" s="311"/>
      <c r="I5" s="311"/>
      <c r="J5" s="311"/>
      <c r="K5" s="311"/>
    </row>
    <row r="6" spans="1:11" s="318" customFormat="1" ht="12.75">
      <c r="A6" s="1149" t="s">
        <v>1268</v>
      </c>
      <c r="B6" s="315"/>
      <c r="C6" s="317"/>
      <c r="D6" s="311"/>
      <c r="E6" s="311"/>
      <c r="F6" s="311"/>
      <c r="G6" s="311"/>
      <c r="H6" s="311"/>
      <c r="I6" s="311"/>
      <c r="J6" s="311"/>
      <c r="K6" s="311"/>
    </row>
    <row r="7" spans="1:11" s="318" customFormat="1" ht="12.75">
      <c r="A7" s="1149" t="s">
        <v>1267</v>
      </c>
      <c r="B7" s="311"/>
      <c r="C7" s="311"/>
      <c r="D7" s="311"/>
      <c r="E7" s="311"/>
      <c r="F7" s="311"/>
      <c r="G7" s="311"/>
      <c r="H7" s="311"/>
      <c r="I7" s="311"/>
      <c r="J7" s="354"/>
    </row>
    <row r="8" spans="1:11" s="318" customFormat="1" ht="12.75">
      <c r="A8" s="316"/>
      <c r="B8" s="311"/>
      <c r="C8" s="311"/>
      <c r="D8" s="311"/>
      <c r="E8" s="311"/>
      <c r="F8" s="311"/>
      <c r="G8" s="311"/>
      <c r="H8" s="311"/>
      <c r="I8" s="311"/>
    </row>
    <row r="9" spans="1:11" s="318" customFormat="1" ht="17.25" customHeight="1">
      <c r="A9" s="1367" t="s">
        <v>889</v>
      </c>
      <c r="B9" s="1368"/>
      <c r="C9" s="1369"/>
      <c r="D9" s="311"/>
      <c r="E9" s="311"/>
      <c r="F9" s="311"/>
      <c r="G9" s="311"/>
      <c r="H9" s="311"/>
      <c r="I9" s="311"/>
      <c r="J9" s="311"/>
      <c r="K9" s="311"/>
    </row>
    <row r="10" spans="1:11" s="354" customFormat="1" ht="12.75">
      <c r="A10" s="312"/>
      <c r="B10" s="313"/>
      <c r="C10" s="314"/>
      <c r="D10" s="311"/>
      <c r="E10" s="311"/>
      <c r="F10" s="311"/>
      <c r="G10" s="311"/>
      <c r="H10" s="311"/>
      <c r="I10" s="311"/>
      <c r="J10" s="311"/>
      <c r="K10" s="311"/>
    </row>
    <row r="11" spans="1:11" s="318" customFormat="1" ht="19.5" customHeight="1">
      <c r="A11" s="432" t="s">
        <v>1277</v>
      </c>
      <c r="B11" s="433"/>
      <c r="C11" s="434"/>
      <c r="D11" s="311"/>
      <c r="E11" s="311"/>
      <c r="F11" s="311"/>
      <c r="G11" s="311"/>
      <c r="H11" s="311"/>
      <c r="I11" s="311"/>
      <c r="J11" s="311"/>
      <c r="K11" s="311"/>
    </row>
    <row r="12" spans="1:11" s="318" customFormat="1" ht="20.25" customHeight="1">
      <c r="A12" s="435" t="s">
        <v>1276</v>
      </c>
      <c r="B12" s="433"/>
      <c r="C12" s="434"/>
      <c r="D12" s="311"/>
      <c r="E12" s="311"/>
      <c r="F12" s="311"/>
      <c r="G12" s="311"/>
      <c r="H12" s="311"/>
      <c r="I12" s="311"/>
      <c r="J12" s="311"/>
      <c r="K12" s="311"/>
    </row>
    <row r="13" spans="1:11" s="318" customFormat="1" ht="19.5" customHeight="1">
      <c r="A13" s="435" t="s">
        <v>894</v>
      </c>
      <c r="B13" s="433"/>
      <c r="C13" s="434"/>
      <c r="D13" s="311"/>
      <c r="E13" s="311"/>
      <c r="F13" s="311"/>
      <c r="G13" s="311"/>
      <c r="H13" s="311"/>
      <c r="I13" s="311"/>
      <c r="J13" s="311"/>
      <c r="K13" s="311"/>
    </row>
    <row r="14" spans="1:11" s="318" customFormat="1" ht="19.5" customHeight="1">
      <c r="A14" s="1210" t="s">
        <v>1278</v>
      </c>
      <c r="B14" s="433"/>
      <c r="C14" s="434"/>
      <c r="D14" s="311"/>
      <c r="E14" s="311"/>
      <c r="F14" s="311"/>
      <c r="G14" s="311"/>
      <c r="H14" s="311"/>
      <c r="I14" s="311"/>
      <c r="J14" s="311"/>
      <c r="K14" s="311"/>
    </row>
    <row r="15" spans="1:11" s="318" customFormat="1" ht="12.75">
      <c r="A15" s="1186"/>
      <c r="B15" s="1187"/>
      <c r="C15" s="1188"/>
      <c r="D15" s="311"/>
      <c r="E15" s="311"/>
      <c r="F15" s="311"/>
      <c r="G15" s="311"/>
      <c r="H15" s="311"/>
      <c r="I15" s="311"/>
      <c r="J15" s="311"/>
      <c r="K15" s="311"/>
    </row>
    <row r="16" spans="1:11" s="318" customFormat="1" ht="12.75">
      <c r="A16" s="316"/>
      <c r="B16" s="315"/>
      <c r="C16" s="317"/>
      <c r="D16" s="311"/>
      <c r="E16" s="311"/>
      <c r="F16" s="311"/>
      <c r="G16" s="311"/>
      <c r="H16" s="311"/>
      <c r="I16" s="311"/>
      <c r="J16" s="311"/>
      <c r="K16" s="311"/>
    </row>
    <row r="17" spans="1:11" s="318" customFormat="1" ht="14.25" customHeight="1">
      <c r="A17" s="319"/>
      <c r="B17" s="319"/>
      <c r="C17" s="319"/>
      <c r="D17" s="319"/>
      <c r="E17" s="319"/>
      <c r="F17" s="319"/>
      <c r="G17" s="319"/>
      <c r="H17" s="319"/>
    </row>
    <row r="18" spans="1:11" s="318" customFormat="1" ht="14.25" customHeight="1">
      <c r="A18" s="319"/>
      <c r="B18" s="319"/>
      <c r="C18" s="319"/>
      <c r="D18" s="319"/>
      <c r="E18" s="319"/>
      <c r="F18" s="319"/>
      <c r="G18" s="319"/>
      <c r="H18" s="319"/>
    </row>
    <row r="19" spans="1:11" s="318" customFormat="1" ht="14.25" customHeight="1">
      <c r="A19" s="319"/>
      <c r="B19" s="319"/>
      <c r="C19" s="319"/>
      <c r="D19" s="319"/>
      <c r="E19" s="319"/>
      <c r="F19" s="319"/>
      <c r="G19" s="319"/>
      <c r="H19" s="319"/>
      <c r="J19" s="311" t="s">
        <v>905</v>
      </c>
    </row>
    <row r="20" spans="1:11" s="318" customFormat="1" ht="14.25" customHeight="1" thickBot="1">
      <c r="A20" s="319"/>
      <c r="B20" s="319"/>
      <c r="C20" s="319"/>
      <c r="D20" s="319"/>
      <c r="E20" s="319"/>
      <c r="F20" s="319"/>
      <c r="G20" s="319"/>
      <c r="H20" s="319"/>
      <c r="J20" s="311"/>
    </row>
    <row r="21" spans="1:11" s="318" customFormat="1" ht="51" customHeight="1">
      <c r="A21" s="320" t="s">
        <v>482</v>
      </c>
      <c r="B21" s="321" t="s">
        <v>802</v>
      </c>
      <c r="C21" s="322" t="s">
        <v>74</v>
      </c>
      <c r="D21" s="322" t="s">
        <v>378</v>
      </c>
      <c r="E21" s="322" t="s">
        <v>801</v>
      </c>
      <c r="F21" s="1150" t="s">
        <v>1214</v>
      </c>
      <c r="G21" s="322" t="s">
        <v>714</v>
      </c>
      <c r="H21" s="1154" t="s">
        <v>73</v>
      </c>
      <c r="I21" s="321" t="s">
        <v>903</v>
      </c>
      <c r="J21" s="323" t="s">
        <v>904</v>
      </c>
      <c r="K21" s="320" t="s">
        <v>895</v>
      </c>
    </row>
    <row r="22" spans="1:11" s="354" customFormat="1" ht="18" customHeight="1">
      <c r="A22" s="324" t="s">
        <v>896</v>
      </c>
      <c r="B22" s="325"/>
      <c r="C22" s="326"/>
      <c r="D22" s="326"/>
      <c r="E22" s="326"/>
      <c r="F22" s="326"/>
      <c r="G22" s="326"/>
      <c r="H22" s="327"/>
      <c r="I22" s="328">
        <f>C52</f>
        <v>75</v>
      </c>
      <c r="J22" s="329">
        <f>D52</f>
        <v>5</v>
      </c>
      <c r="K22" s="330"/>
    </row>
    <row r="23" spans="1:11" s="354" customFormat="1" ht="18" customHeight="1">
      <c r="A23" s="324" t="s">
        <v>898</v>
      </c>
      <c r="B23" s="325"/>
      <c r="C23" s="326"/>
      <c r="D23" s="326"/>
      <c r="E23" s="326"/>
      <c r="F23" s="326"/>
      <c r="G23" s="326"/>
      <c r="H23" s="327"/>
      <c r="I23" s="328">
        <f>J52</f>
        <v>114</v>
      </c>
      <c r="J23" s="329">
        <f>K52</f>
        <v>7.6000000000000005</v>
      </c>
      <c r="K23" s="330"/>
    </row>
    <row r="24" spans="1:11" s="354" customFormat="1" ht="16.5" customHeight="1">
      <c r="A24" s="331" t="s">
        <v>897</v>
      </c>
      <c r="B24" s="1374" t="s">
        <v>1137</v>
      </c>
      <c r="C24" s="1375"/>
      <c r="D24" s="1375"/>
      <c r="E24" s="1375"/>
      <c r="F24" s="1375"/>
      <c r="G24" s="1375"/>
      <c r="H24" s="1376"/>
      <c r="I24" s="332"/>
      <c r="J24" s="333"/>
      <c r="K24" s="334"/>
    </row>
    <row r="25" spans="1:11" s="318" customFormat="1" ht="15.95" customHeight="1">
      <c r="A25" s="335" t="s">
        <v>899</v>
      </c>
      <c r="B25" s="336">
        <f>IF(OR(ภาระงานบริหาร!D10&lt;&gt;"",ภาระงานบริหาร!D11&lt;&gt;""),IF(J25&lt;&gt;0,(10*J25)/J29,0),0)</f>
        <v>0</v>
      </c>
      <c r="C25" s="337">
        <f>IF(B29&lt;&gt;0,0,IF(OR(ภาระงานบริหาร!D12&lt;&gt;"",ภาระงานบริหาร!D13&lt;&gt;""),IF(J25&lt;&gt;0,(10*J25)/J29,0),0))</f>
        <v>0</v>
      </c>
      <c r="D25" s="337">
        <f>IF(OR(B29&lt;&gt;0,C29&lt;&gt;0),0,IF(ภาระงานบริหาร!D15&lt;&gt;"",IF(J25&lt;&gt;0,(20*J25)/J29,0),0))</f>
        <v>0</v>
      </c>
      <c r="E25" s="337">
        <f>IF(OR(B29&lt;&gt;0,C29&lt;&gt;0,D29&lt;&gt;0),0,IF(OR(ภาระงานบริหาร!D16&lt;&gt;"",ภาระงานบริหาร!D17&lt;&gt;""),IF(J25&lt;&gt;0,(20*J25)/J29,0),0))</f>
        <v>0</v>
      </c>
      <c r="F25" s="337">
        <f>IF(OR(B29&lt;&gt;0,C29&lt;&gt;0,D29&lt;&gt;0,E29&lt;&gt;0),0,IF(OR(ภาระงานบริหาร!D19&lt;&gt;"",ภาระงานบริหาร!D20&lt;&gt;"",ภาระงานบริหาร!D21&lt;&gt;""),IF(J25&lt;&gt;0,(30*J25)/J29,0),0))</f>
        <v>0</v>
      </c>
      <c r="G25" s="337">
        <f>IF(OR(B29&lt;&gt;0,C29&lt;&gt;0,D29&lt;&gt;0,E29&lt;&gt;0,F29&lt;&gt;0),0,IF(ภาระงานบริหาร!D25&lt;&gt;"",IF(J25&lt;&gt;0,(40*J25)/$J$29,0),IF(OR(ภาระงานบริหาร!D23&lt;&gt;"",ภาระงานบริหาร!D24&lt;&gt;"",ภาระงานบริหาร!D26&lt;&gt;"",ภาระงานบริหาร!D27&lt;&gt;""),IF(J25&lt;&gt;0,(50*J25)/$J$29,0),0)))</f>
        <v>19.874923182590464</v>
      </c>
      <c r="H25" s="338">
        <f>IF(OR(ภาระงานบริหาร!D10&lt;&gt;"",ภาระงานบริหาร!D11&lt;&gt;"",ภาระงานบริหาร!D12&lt;&gt;"",ภาระงานบริหาร!D13&lt;&gt;"",ภาระงานบริหาร!D15&lt;&gt;"",ภาระงานบริหาร!D16&lt;&gt;"",ภาระงานบริหาร!D17&lt;&gt;"",ภาระงานบริหาร!D19&lt;&gt;"",ภาระงานบริหาร!D20&lt;&gt;"",ภาระงานบริหาร!D21&lt;&gt;"",ภาระงานบริหาร!D23&lt;&gt;"",ภาระงานบริหาร!D24&lt;&gt;"",ภาระงานบริหาร!D25&lt;&gt;"",ภาระงานบริหาร!D26&lt;&gt;"",ภาระงานบริหาร!D27&lt;&gt;""),0,IF(J25&lt;&gt;0,(50*J25)/J29,0))</f>
        <v>0</v>
      </c>
      <c r="I25" s="336">
        <f>C80</f>
        <v>549.79999999999995</v>
      </c>
      <c r="J25" s="338">
        <f>D80</f>
        <v>36.653333333333336</v>
      </c>
      <c r="K25" s="339" t="str">
        <f>IF(OR(F29&lt;&gt;0,G29&lt;&gt;0,H29&lt;&gt;0),IF(J25&gt;=16,"Satisfied","Unsatisfied"),"")</f>
        <v>Satisfied</v>
      </c>
    </row>
    <row r="26" spans="1:11" s="318" customFormat="1" ht="15.95" customHeight="1">
      <c r="A26" s="335" t="s">
        <v>900</v>
      </c>
      <c r="B26" s="336">
        <f>IF(OR(ภาระงานบริหาร!D10&lt;&gt;"",ภาระงานบริหาร!D11&lt;&gt;""),IF(J26&lt;&gt;0,(10*J26)/J29,0),0)</f>
        <v>0</v>
      </c>
      <c r="C26" s="337">
        <f>IF(B29&lt;&gt;0,0,IF(OR(ภาระงานบริหาร!D12&lt;&gt;"",ภาระงานบริหาร!D13&lt;&gt;""),IF(J26&lt;&gt;0,(10*J26)/J29,0),0))</f>
        <v>0</v>
      </c>
      <c r="D26" s="337">
        <f>IF(OR(B29&lt;&gt;0,C29&lt;&gt;0),0,IF(ภาระงานบริหาร!D15&lt;&gt;"",IF(J26&lt;&gt;0,(20*J26)/J29,0),0))</f>
        <v>0</v>
      </c>
      <c r="E26" s="337">
        <f>IF(OR(B29&lt;&gt;0,C29&lt;&gt;0,D29&lt;&gt;0),0,IF(OR(ภาระงานบริหาร!D16&lt;&gt;"",ภาระงานบริหาร!D17&lt;&gt;""),IF(J26&lt;&gt;0,(20*J26)/J29,0),0))</f>
        <v>0</v>
      </c>
      <c r="F26" s="337">
        <f>IF(OR(B29&lt;&gt;0,C29&lt;&gt;0,D29&lt;&gt;0,E29&lt;&gt;0),0,IF(OR(ภาระงานบริหาร!D19&lt;&gt;"",ภาระงานบริหาร!D20&lt;&gt;"",ภาระงานบริหาร!D21&lt;&gt;""),IF(J26&lt;&gt;0,(30*J26)/J29,0),0))</f>
        <v>0</v>
      </c>
      <c r="G26" s="337">
        <f>IF(OR(B29&lt;&gt;0,C29&lt;&gt;0,D29&lt;&gt;0,E29&lt;&gt;0,F29&lt;&gt;0),0,IF(ภาระงานบริหาร!D25&lt;&gt;"",IF(J26&lt;&gt;0,(40*J26)/$J$29,0),IF(OR(ภาระงานบริหาร!D23&lt;&gt;"",ภาระงานบริหาร!D24&lt;&gt;"",ภาระงานบริหาร!D26&lt;&gt;"",ภาระงานบริหาร!D27&lt;&gt;""),IF(J26&lt;&gt;0,(50*J26)/$J$29,0),0)))</f>
        <v>11.521526949354731</v>
      </c>
      <c r="H26" s="338">
        <f>IF(OR(ภาระงานบริหาร!D10&lt;&gt;"",ภาระงานบริหาร!D11&lt;&gt;"",ภาระงานบริหาร!D12&lt;&gt;"",ภาระงานบริหาร!D13&lt;&gt;"",ภาระงานบริหาร!D15&lt;&gt;"",ภาระงานบริหาร!D16&lt;&gt;"",ภาระงานบริหาร!D17&lt;&gt;"",ภาระงานบริหาร!D19&lt;&gt;"",ภาระงานบริหาร!D20&lt;&gt;"",ภาระงานบริหาร!D21&lt;&gt;"",ภาระงานบริหาร!D23&lt;&gt;"",ภาระงานบริหาร!D24&lt;&gt;"",ภาระงานบริหาร!D25&lt;&gt;"",ภาระงานบริหาร!D26&lt;&gt;"",ภาระงานบริหาร!D27&lt;&gt;""),0,IF(J26&lt;&gt;0,(50*J26)/J29,0))</f>
        <v>0</v>
      </c>
      <c r="I26" s="336">
        <f>J80</f>
        <v>318.71999999999997</v>
      </c>
      <c r="J26" s="338">
        <f>K80</f>
        <v>21.247999999999998</v>
      </c>
      <c r="K26" s="339" t="str">
        <f>IF(OR(F29&lt;&gt;0,G29&lt;&gt;0,H29&lt;&gt;0),IF(J26&gt;=4,"Satisfied","Unsatisfied"),"")</f>
        <v>Satisfied</v>
      </c>
    </row>
    <row r="27" spans="1:11" s="318" customFormat="1" ht="15.95" customHeight="1">
      <c r="A27" s="335" t="s">
        <v>901</v>
      </c>
      <c r="B27" s="336">
        <f>IF(OR(ภาระงานบริหาร!D10&lt;&gt;"",ภาระงานบริหาร!D11&lt;&gt;""),IF(J27&lt;&gt;0,(10*J27)/J29,0),0)</f>
        <v>0</v>
      </c>
      <c r="C27" s="337">
        <f>IF(B29&lt;&gt;0,0,IF(OR(ภาระงานบริหาร!D12&lt;&gt;"",ภาระงานบริหาร!D13&lt;&gt;""),IF(J27&lt;&gt;0,(10*J27)/J29,0),0))</f>
        <v>0</v>
      </c>
      <c r="D27" s="337">
        <f>IF(OR(B29&lt;&gt;0,C29&lt;&gt;0),0,IF(ภาระงานบริหาร!D15&lt;&gt;"",IF(J27&lt;&gt;0,(20*J27)/J29,0),0))</f>
        <v>0</v>
      </c>
      <c r="E27" s="337">
        <f>IF(OR(B29&lt;&gt;0,C29&lt;&gt;0,D29&lt;&gt;0),0,IF(OR(ภาระงานบริหาร!D16&lt;&gt;"",ภาระงานบริหาร!D17&lt;&gt;""),IF(J27&lt;&gt;0,(20*J27)/J29,0),0))</f>
        <v>0</v>
      </c>
      <c r="F27" s="337">
        <f>IF(OR(B29&lt;&gt;0,C29&lt;&gt;0,D29&lt;&gt;0,E29&lt;&gt;0),0,IF(OR(ภาระงานบริหาร!D19&lt;&gt;"",ภาระงานบริหาร!D20&lt;&gt;"",ภาระงานบริหาร!D21&lt;&gt;""),IF(J27&lt;&gt;0,(30*J27)/J29,0),0))</f>
        <v>0</v>
      </c>
      <c r="G27" s="337">
        <f>IF(OR(B29&lt;&gt;0,C29&lt;&gt;0,D29&lt;&gt;0,E29&lt;&gt;0,F29&lt;&gt;0),0,IF(ภาระงานบริหาร!D25&lt;&gt;"",IF(J27&lt;&gt;0,(40*J27)/$J$29,0),IF(OR(ภาระงานบริหาร!D23&lt;&gt;"",ภาระงานบริหาร!D24&lt;&gt;"",ภาระงานบริหาร!D26&lt;&gt;"",ภาระงานบริหาร!D27&lt;&gt;""),IF(J27&lt;&gt;0,(50*J27)/$J$29,0),0)))</f>
        <v>6.4707370856378565</v>
      </c>
      <c r="H27" s="338">
        <f>IF(OR(ภาระงานบริหาร!D10&lt;&gt;"",ภาระงานบริหาร!D11&lt;&gt;"",ภาระงานบริหาร!D12&lt;&gt;"",ภาระงานบริหาร!D13&lt;&gt;"",ภาระงานบริหาร!D15&lt;&gt;"",ภาระงานบริหาร!D16&lt;&gt;"",ภาระงานบริหาร!D17&lt;&gt;"",ภาระงานบริหาร!D19&lt;&gt;"",ภาระงานบริหาร!D20&lt;&gt;"",ภาระงานบริหาร!D21&lt;&gt;"",ภาระงานบริหาร!D23&lt;&gt;"",ภาระงานบริหาร!D24&lt;&gt;"",ภาระงานบริหาร!D25&lt;&gt;"",ภาระงานบริหาร!D26&lt;&gt;"",ภาระงานบริหาร!D27&lt;&gt;""),0,IF(J27&lt;&gt;0,(50*J27)/J29,0))</f>
        <v>0</v>
      </c>
      <c r="I27" s="336">
        <f>C110</f>
        <v>179</v>
      </c>
      <c r="J27" s="338">
        <f>D110</f>
        <v>11.933333333333335</v>
      </c>
      <c r="K27" s="339" t="str">
        <f>IF(OR(F29&lt;&gt;0,G29&lt;&gt;0,H29&lt;&gt;0),IF(J27&gt;=3,"Satisfied","Unsatisfied"),"")</f>
        <v>Satisfied</v>
      </c>
    </row>
    <row r="28" spans="1:11" s="318" customFormat="1" ht="12.75">
      <c r="A28" s="340" t="s">
        <v>902</v>
      </c>
      <c r="B28" s="341">
        <f>IF(OR(ภาระงานบริหาร!D10&lt;&gt;"",ภาระงานบริหาร!D11&lt;&gt;""),IF(J28&lt;&gt;0,(10*J28)/J29,0),0)</f>
        <v>0</v>
      </c>
      <c r="C28" s="342">
        <f>IF(B29&lt;&gt;0,0,IF(OR(ภาระงานบริหาร!D12&lt;&gt;"",ภาระงานบริหาร!D13&lt;&gt;""),IF(J28&lt;&gt;0,(10*J28)/J29,0),0))</f>
        <v>0</v>
      </c>
      <c r="D28" s="342">
        <f>IF(OR(B29&lt;&gt;0,C29&lt;&gt;0),0,IF(ภาระงานบริหาร!D15&lt;&gt;"",IF(J28&lt;&gt;0,(20*J28)/J29,0),0))</f>
        <v>0</v>
      </c>
      <c r="E28" s="342">
        <f>IF(OR(B29&lt;&gt;0,C29&lt;&gt;0,D29&lt;&gt;0),0,IF(OR(ภาระงานบริหาร!D16&lt;&gt;"",ภาระงานบริหาร!D17&lt;&gt;""),IF(J28&lt;&gt;0,(20*J28)/J29,0),0))</f>
        <v>0</v>
      </c>
      <c r="F28" s="342">
        <f>IF(OR(B29&lt;&gt;0,C29&lt;&gt;0,D29&lt;&gt;0,E29&lt;&gt;0),0,IF(OR(ภาระงานบริหาร!D19&lt;&gt;"",ภาระงานบริหาร!D20&lt;&gt;"",ภาระงานบริหาร!D21&lt;&gt;""),IF(J28&lt;&gt;0,(30*J28)/J29,0),0))</f>
        <v>0</v>
      </c>
      <c r="G28" s="337">
        <f>IF(OR(B29&lt;&gt;0,C29&lt;&gt;0,D29&lt;&gt;0,E29&lt;&gt;0,F29&lt;&gt;0),0,IF(ภาระงานบริหาร!D25&lt;&gt;"",IF(J28&lt;&gt;0,(40*J28)/$J$29,0),IF(OR(ภาระงานบริหาร!D23&lt;&gt;"",ภาระงานบริหาร!D24&lt;&gt;"",ภาระงานบริหาร!D26&lt;&gt;"",ภาระงานบริหาร!D27&lt;&gt;""),IF(J28&lt;&gt;0,(50*J28)/$J$29,0),0)))</f>
        <v>2.1328127824169467</v>
      </c>
      <c r="H28" s="343">
        <f>IF(OR(ภาระงานบริหาร!D10&lt;&gt;"",ภาระงานบริหาร!D11&lt;&gt;"",ภาระงานบริหาร!D12&lt;&gt;"",ภาระงานบริหาร!D13&lt;&gt;"",ภาระงานบริหาร!D15&lt;&gt;"",ภาระงานบริหาร!D16&lt;&gt;"",ภาระงานบริหาร!D17&lt;&gt;"",ภาระงานบริหาร!D19&lt;&gt;"",ภาระงานบริหาร!D20&lt;&gt;"",ภาระงานบริหาร!D21&lt;&gt;"",ภาระงานบริหาร!D23&lt;&gt;"",ภาระงานบริหาร!D24&lt;&gt;"",ภาระงานบริหาร!D25&lt;&gt;"",ภาระงานบริหาร!D26&lt;&gt;"",ภาระงานบริหาร!D27&lt;&gt;""),0,IF(J28&lt;&gt;0,(50*J28)/J29,0))</f>
        <v>0</v>
      </c>
      <c r="I28" s="341">
        <f>J88</f>
        <v>59</v>
      </c>
      <c r="J28" s="343">
        <f>K88</f>
        <v>3.9333333333333327</v>
      </c>
      <c r="K28" s="344" t="str">
        <f>IF(OR(F29&lt;&gt;0,G29&lt;&gt;0,H29&lt;&gt;0),IF(J28&gt;=1,"Satisfied","Unsatisfied"),"")</f>
        <v>Satisfied</v>
      </c>
    </row>
    <row r="29" spans="1:11" s="318" customFormat="1" ht="18.75" customHeight="1">
      <c r="A29" s="640" t="s">
        <v>1136</v>
      </c>
      <c r="B29" s="641">
        <f t="shared" ref="B29:I29" si="0">SUM(B25:B28)</f>
        <v>0</v>
      </c>
      <c r="C29" s="642">
        <f t="shared" si="0"/>
        <v>0</v>
      </c>
      <c r="D29" s="642">
        <f t="shared" si="0"/>
        <v>0</v>
      </c>
      <c r="E29" s="642">
        <f t="shared" si="0"/>
        <v>0</v>
      </c>
      <c r="F29" s="642">
        <f>SUM(F25:F28)</f>
        <v>0</v>
      </c>
      <c r="G29" s="642">
        <f t="shared" si="0"/>
        <v>40</v>
      </c>
      <c r="H29" s="643">
        <f t="shared" si="0"/>
        <v>0</v>
      </c>
      <c r="I29" s="641">
        <f t="shared" si="0"/>
        <v>1106.52</v>
      </c>
      <c r="J29" s="643">
        <f>SUM(J25:J28)</f>
        <v>73.768000000000001</v>
      </c>
      <c r="K29" s="1370" t="str">
        <f>IF(J29&gt;J30,"Satisfied","Unsatisfied")</f>
        <v>Satisfied</v>
      </c>
    </row>
    <row r="30" spans="1:11" s="318" customFormat="1" ht="16.5" customHeight="1" thickBot="1">
      <c r="A30" s="644"/>
      <c r="B30" s="645"/>
      <c r="C30" s="645"/>
      <c r="D30" s="646"/>
      <c r="E30" s="646"/>
      <c r="F30" s="646"/>
      <c r="G30" s="646"/>
      <c r="H30" s="647" t="str">
        <f>IF(B29&lt;&gt;0,"เกณฑ์มาตรฐานภาระงานตามพันธกิจ (กรณีดำรงตำแหน่งรองอธิการบดี) ต้องไม่น้อยกว่า 5 ชม.ทำการ/สัปดาห์",IF(C29&lt;&gt;0,"เกณฑ์มาตรฐานภาระงานตามพันธกิจ (กรณีดำรงตำแหน่งคณบดี/ผอ.สำนัก) ต้องไม่น้อยกว่า 5 ชม.ทำการ/สัปดาห์",IF(D29&lt;&gt;0,"เกณฑ์มาตรฐานภาระงานตามพันธกิจ (กรณีดำรงตำแหน่งผู้ช่วยอธิการบดี) ต้องไม่น้อยกว่า 15 ชม.ทำการ/สัปดาห์",IF(E29&lt;&gt;0,"เกณฑ์มาตรฐานภาระงานตามพันธกิจ (กรณีดำรงตำแหน่งรอง คณบดี/ผอ.สำนัก/ศูนย์/สถาบัน) ต้องไม่น้อยกว่า 15 ชม.ทำการ/สัปดาห์",IF(F29&lt;&gt;0,"เกณฑ์มาตรฐานภาระงานตามพันธกิจ (กรณีดำรงตำแหน่งประธานหลักสูตร/ผู้ช่วยคณบดี) ต้องไม่น้อยกว่า 25 ชม.ทำการ/สัปดาห์",IF(G29&lt;&gt;0,"เกณฑ์มาตรฐานภาระงานตามพันธกิจ (กรณีดำรงตำแหน่งเลขานุการ/กรรมการหลักสูตร/ผู้บริหารอื่นๆ) ต้องไม่น้อยกว่า 30 ชม.ทำการ/สัปดาห์",IF(H29&lt;&gt;0,"เกณฑ์มาตรฐานภาระงานตามพันธกิจ (กรณีไม่ได้ดำรงตำแหน่งผู้บริหาร) ต้องไม่น้อยกว่า 35 ชม.ทำการ/สัปดาห์",0)))))))</f>
        <v>เกณฑ์มาตรฐานภาระงานตามพันธกิจ (กรณีดำรงตำแหน่งเลขานุการ/กรรมการหลักสูตร/ผู้บริหารอื่นๆ) ต้องไม่น้อยกว่า 30 ชม.ทำการ/สัปดาห์</v>
      </c>
      <c r="I30" s="648">
        <f>J30*15</f>
        <v>450</v>
      </c>
      <c r="J30" s="649">
        <f>IF(B29&lt;&gt;0,5,IF(C29&lt;&gt;0,5,IF(D29&lt;&gt;0,15,IF(E29&lt;&gt;0,15,IF(F29&lt;&gt;0,25,IF(G29&lt;&gt;0,30,IF(H29&lt;&gt;0,35,0)))))))</f>
        <v>30</v>
      </c>
      <c r="K30" s="1371"/>
    </row>
    <row r="31" spans="1:11" s="318" customFormat="1" ht="16.5" customHeight="1">
      <c r="A31" s="636"/>
      <c r="B31" s="637"/>
      <c r="C31" s="637"/>
      <c r="D31" s="638"/>
      <c r="E31" s="638"/>
      <c r="F31" s="638"/>
      <c r="G31" s="638"/>
      <c r="H31" s="650" t="s">
        <v>1003</v>
      </c>
      <c r="I31" s="639">
        <f>I22+I23+I29</f>
        <v>1295.52</v>
      </c>
      <c r="J31" s="639">
        <f>J22+J23+J29</f>
        <v>86.367999999999995</v>
      </c>
      <c r="K31" s="1372" t="str">
        <f>IF(J31&gt;J32,"Satisfied","Unsatisfied")</f>
        <v>Satisfied</v>
      </c>
    </row>
    <row r="32" spans="1:11" s="318" customFormat="1" ht="16.5" customHeight="1" thickBot="1">
      <c r="A32" s="630"/>
      <c r="B32" s="631"/>
      <c r="C32" s="631"/>
      <c r="D32" s="632"/>
      <c r="E32" s="632"/>
      <c r="F32" s="632"/>
      <c r="G32" s="632"/>
      <c r="H32" s="633" t="s">
        <v>1002</v>
      </c>
      <c r="I32" s="634">
        <f>J32*15</f>
        <v>525</v>
      </c>
      <c r="J32" s="635">
        <v>35</v>
      </c>
      <c r="K32" s="1373"/>
    </row>
    <row r="33" spans="1:12" s="318" customFormat="1" ht="15" customHeight="1">
      <c r="A33" s="345"/>
      <c r="B33" s="346"/>
      <c r="C33" s="345"/>
      <c r="D33" s="317"/>
      <c r="E33" s="347"/>
      <c r="F33" s="319"/>
      <c r="G33" s="319"/>
      <c r="H33" s="319"/>
      <c r="I33" s="348"/>
    </row>
    <row r="34" spans="1:12" s="318" customFormat="1" ht="12.75">
      <c r="A34" s="349" t="s">
        <v>697</v>
      </c>
      <c r="B34" s="350"/>
      <c r="C34" s="351"/>
      <c r="D34" s="352"/>
      <c r="E34" s="353"/>
      <c r="F34" s="349" t="s">
        <v>456</v>
      </c>
      <c r="G34" s="350"/>
      <c r="H34" s="354"/>
      <c r="I34" s="348"/>
    </row>
    <row r="35" spans="1:12" s="318" customFormat="1" ht="51">
      <c r="A35" s="1363" t="s">
        <v>478</v>
      </c>
      <c r="B35" s="1364"/>
      <c r="C35" s="355" t="s">
        <v>486</v>
      </c>
      <c r="D35" s="356" t="s">
        <v>463</v>
      </c>
      <c r="E35" s="349"/>
      <c r="F35" s="1365" t="s">
        <v>478</v>
      </c>
      <c r="G35" s="1366"/>
      <c r="H35" s="1366"/>
      <c r="I35" s="1366"/>
      <c r="J35" s="357" t="s">
        <v>486</v>
      </c>
      <c r="K35" s="358" t="s">
        <v>459</v>
      </c>
      <c r="L35" s="348"/>
    </row>
    <row r="36" spans="1:12" s="348" customFormat="1" ht="15" customHeight="1">
      <c r="A36" s="359" t="s">
        <v>475</v>
      </c>
      <c r="B36" s="360"/>
      <c r="C36" s="361">
        <f>ภาระงานบริหาร!F10</f>
        <v>0</v>
      </c>
      <c r="D36" s="362">
        <f>ภาระงานบริหาร!G10</f>
        <v>0</v>
      </c>
      <c r="E36" s="363"/>
      <c r="F36" s="364" t="s">
        <v>698</v>
      </c>
      <c r="G36" s="365"/>
      <c r="H36" s="365"/>
      <c r="I36" s="365"/>
      <c r="J36" s="361">
        <f>ภาระงานอื่น!F9</f>
        <v>0</v>
      </c>
      <c r="K36" s="362">
        <f>ภาระงานอื่น!G9</f>
        <v>0</v>
      </c>
    </row>
    <row r="37" spans="1:12" s="348" customFormat="1" ht="15" customHeight="1">
      <c r="A37" s="1189" t="s">
        <v>706</v>
      </c>
      <c r="B37" s="1190"/>
      <c r="C37" s="368">
        <f>ภาระงานบริหาร!F11</f>
        <v>0</v>
      </c>
      <c r="D37" s="369">
        <f>ภาระงานบริหาร!G11</f>
        <v>0</v>
      </c>
      <c r="E37" s="363"/>
      <c r="F37" s="370" t="s">
        <v>699</v>
      </c>
      <c r="G37" s="371"/>
      <c r="H37" s="371"/>
      <c r="I37" s="371"/>
      <c r="J37" s="368">
        <f>IF(K37=0,0,ภาระงานอื่น!F15)</f>
        <v>15</v>
      </c>
      <c r="K37" s="369">
        <f>ภาระงานอื่น!G15</f>
        <v>1</v>
      </c>
    </row>
    <row r="38" spans="1:12" s="348" customFormat="1" ht="15" customHeight="1">
      <c r="A38" s="1189" t="s">
        <v>707</v>
      </c>
      <c r="B38" s="1190"/>
      <c r="C38" s="368">
        <f>ภาระงานบริหาร!F12</f>
        <v>0</v>
      </c>
      <c r="D38" s="369">
        <f>ภาระงานบริหาร!G12</f>
        <v>0</v>
      </c>
      <c r="E38" s="363"/>
      <c r="F38" s="370" t="s">
        <v>457</v>
      </c>
      <c r="G38" s="371"/>
      <c r="H38" s="371"/>
      <c r="I38" s="371"/>
      <c r="J38" s="368">
        <f>ภาระงานอื่น!F55</f>
        <v>54</v>
      </c>
      <c r="K38" s="369">
        <f>ภาระงานอื่น!G55</f>
        <v>3.6000000000000005</v>
      </c>
    </row>
    <row r="39" spans="1:12" s="348" customFormat="1" ht="15" customHeight="1">
      <c r="A39" s="1189" t="s">
        <v>333</v>
      </c>
      <c r="B39" s="1190"/>
      <c r="C39" s="368">
        <f>ภาระงานบริหาร!F13</f>
        <v>0</v>
      </c>
      <c r="D39" s="369">
        <f>ภาระงานบริหาร!G13</f>
        <v>0</v>
      </c>
      <c r="E39" s="363"/>
      <c r="F39" s="370" t="s">
        <v>458</v>
      </c>
      <c r="G39" s="371"/>
      <c r="H39" s="371"/>
      <c r="I39" s="371"/>
      <c r="J39" s="368">
        <f>ภาระงานอื่น!F77</f>
        <v>0</v>
      </c>
      <c r="K39" s="369">
        <f>ภาระงานอื่น!G77</f>
        <v>0</v>
      </c>
      <c r="L39" s="363"/>
    </row>
    <row r="40" spans="1:12" s="348" customFormat="1" ht="15" customHeight="1">
      <c r="A40" s="1189" t="s">
        <v>709</v>
      </c>
      <c r="B40" s="1190"/>
      <c r="C40" s="368">
        <f>ภาระงานบริหาร!F15</f>
        <v>0</v>
      </c>
      <c r="D40" s="369">
        <f>ภาระงานบริหาร!G15</f>
        <v>0</v>
      </c>
      <c r="E40" s="363"/>
      <c r="F40" s="372" t="s">
        <v>705</v>
      </c>
      <c r="G40" s="373"/>
      <c r="H40" s="373"/>
      <c r="I40" s="373"/>
      <c r="J40" s="368">
        <f>ภาระงานอื่น!F88</f>
        <v>45</v>
      </c>
      <c r="K40" s="369">
        <f>ภาระงานอื่น!G88</f>
        <v>3</v>
      </c>
      <c r="L40" s="363"/>
    </row>
    <row r="41" spans="1:12" s="348" customFormat="1" ht="15" customHeight="1">
      <c r="A41" s="1189" t="s">
        <v>708</v>
      </c>
      <c r="B41" s="1190"/>
      <c r="C41" s="368">
        <f>ภาระงานบริหาร!F16</f>
        <v>0</v>
      </c>
      <c r="D41" s="369">
        <f>ภาระงานบริหาร!G16</f>
        <v>0</v>
      </c>
      <c r="E41" s="363"/>
      <c r="F41" s="372"/>
      <c r="G41" s="373"/>
      <c r="H41" s="373"/>
      <c r="I41" s="373"/>
      <c r="J41" s="368"/>
      <c r="K41" s="369"/>
      <c r="L41" s="363"/>
    </row>
    <row r="42" spans="1:12" s="348" customFormat="1" ht="15" customHeight="1">
      <c r="A42" s="1189" t="s">
        <v>332</v>
      </c>
      <c r="B42" s="1190"/>
      <c r="C42" s="368">
        <f>ภาระงานบริหาร!F17</f>
        <v>0</v>
      </c>
      <c r="D42" s="369">
        <f>ภาระงานบริหาร!G17</f>
        <v>0</v>
      </c>
      <c r="E42" s="363"/>
      <c r="F42" s="372"/>
      <c r="G42" s="373"/>
      <c r="H42" s="373"/>
      <c r="I42" s="373"/>
      <c r="J42" s="368"/>
      <c r="K42" s="369"/>
      <c r="L42" s="363"/>
    </row>
    <row r="43" spans="1:12" s="348" customFormat="1" ht="15" customHeight="1">
      <c r="A43" s="1189" t="s">
        <v>711</v>
      </c>
      <c r="B43" s="1190"/>
      <c r="C43" s="368">
        <f>ภาระงานบริหาร!F19</f>
        <v>0</v>
      </c>
      <c r="D43" s="369">
        <f>ภาระงานบริหาร!G19</f>
        <v>0</v>
      </c>
      <c r="E43" s="363"/>
      <c r="F43" s="372"/>
      <c r="G43" s="373"/>
      <c r="H43" s="373"/>
      <c r="I43" s="373"/>
      <c r="J43" s="368"/>
      <c r="K43" s="369"/>
      <c r="L43" s="363"/>
    </row>
    <row r="44" spans="1:12" s="348" customFormat="1" ht="15" customHeight="1">
      <c r="A44" s="1189" t="s">
        <v>710</v>
      </c>
      <c r="B44" s="1190"/>
      <c r="C44" s="368">
        <f>ภาระงานบริหาร!F20</f>
        <v>0</v>
      </c>
      <c r="D44" s="369">
        <f>ภาระงานบริหาร!G20</f>
        <v>0</v>
      </c>
      <c r="E44" s="363"/>
      <c r="F44" s="372"/>
      <c r="G44" s="373"/>
      <c r="H44" s="373"/>
      <c r="I44" s="373"/>
      <c r="J44" s="368"/>
      <c r="K44" s="369"/>
      <c r="L44" s="363"/>
    </row>
    <row r="45" spans="1:12" s="348" customFormat="1" ht="15" customHeight="1">
      <c r="A45" s="366" t="s">
        <v>476</v>
      </c>
      <c r="B45" s="367"/>
      <c r="C45" s="368">
        <f>ภาระงานบริหาร!F21</f>
        <v>0</v>
      </c>
      <c r="D45" s="369">
        <f>ภาระงานบริหาร!G21</f>
        <v>0</v>
      </c>
      <c r="E45" s="363"/>
      <c r="F45" s="372"/>
      <c r="G45" s="373"/>
      <c r="H45" s="373"/>
      <c r="I45" s="373"/>
      <c r="J45" s="368"/>
      <c r="K45" s="369"/>
      <c r="L45" s="363"/>
    </row>
    <row r="46" spans="1:12" s="348" customFormat="1" ht="15" customHeight="1">
      <c r="A46" s="366" t="s">
        <v>331</v>
      </c>
      <c r="B46" s="367"/>
      <c r="C46" s="368">
        <f>ภาระงานบริหาร!F23</f>
        <v>0</v>
      </c>
      <c r="D46" s="369">
        <f>ภาระงานบริหาร!G23</f>
        <v>0</v>
      </c>
      <c r="E46" s="363"/>
      <c r="F46" s="372"/>
      <c r="G46" s="373"/>
      <c r="H46" s="373"/>
      <c r="I46" s="373"/>
      <c r="J46" s="368"/>
      <c r="K46" s="369"/>
      <c r="L46" s="363"/>
    </row>
    <row r="47" spans="1:12" s="348" customFormat="1" ht="15" customHeight="1">
      <c r="A47" s="366" t="s">
        <v>477</v>
      </c>
      <c r="B47" s="367"/>
      <c r="C47" s="368">
        <f>ภาระงานบริหาร!F24</f>
        <v>0</v>
      </c>
      <c r="D47" s="369">
        <f>ภาระงานบริหาร!G24</f>
        <v>0</v>
      </c>
      <c r="E47" s="363"/>
      <c r="F47" s="372"/>
      <c r="G47" s="373"/>
      <c r="H47" s="373"/>
      <c r="I47" s="373"/>
      <c r="J47" s="368"/>
      <c r="K47" s="369"/>
      <c r="L47" s="363"/>
    </row>
    <row r="48" spans="1:12" s="348" customFormat="1" ht="15" customHeight="1">
      <c r="A48" s="1191" t="s">
        <v>1127</v>
      </c>
      <c r="B48" s="1190"/>
      <c r="C48" s="368">
        <f>ภาระงานบริหาร!F25</f>
        <v>75</v>
      </c>
      <c r="D48" s="369">
        <f>ภาระงานบริหาร!G25</f>
        <v>5</v>
      </c>
      <c r="E48" s="363"/>
      <c r="F48" s="372"/>
      <c r="G48" s="373"/>
      <c r="H48" s="373"/>
      <c r="I48" s="373"/>
      <c r="J48" s="368"/>
      <c r="K48" s="369"/>
      <c r="L48" s="363"/>
    </row>
    <row r="49" spans="1:12" s="348" customFormat="1" ht="15" customHeight="1">
      <c r="A49" s="366" t="s">
        <v>1179</v>
      </c>
      <c r="B49" s="367"/>
      <c r="C49" s="368">
        <f>ภาระงานบริหาร!F26</f>
        <v>0</v>
      </c>
      <c r="D49" s="369">
        <f>ภาระงานบริหาร!G26</f>
        <v>0</v>
      </c>
      <c r="E49" s="363"/>
      <c r="F49" s="372"/>
      <c r="G49" s="373"/>
      <c r="H49" s="373"/>
      <c r="I49" s="373"/>
      <c r="J49" s="368"/>
      <c r="K49" s="369"/>
      <c r="L49" s="363"/>
    </row>
    <row r="50" spans="1:12" s="348" customFormat="1" ht="15" customHeight="1">
      <c r="A50" s="366" t="s">
        <v>1181</v>
      </c>
      <c r="B50" s="367"/>
      <c r="C50" s="368">
        <f>ภาระงานบริหาร!F27</f>
        <v>0</v>
      </c>
      <c r="D50" s="369">
        <f>ภาระงานบริหาร!G27</f>
        <v>0</v>
      </c>
      <c r="E50" s="363"/>
      <c r="F50" s="372"/>
      <c r="G50" s="373"/>
      <c r="H50" s="373"/>
      <c r="I50" s="373"/>
      <c r="J50" s="368"/>
      <c r="K50" s="369"/>
      <c r="L50" s="363"/>
    </row>
    <row r="51" spans="1:12" s="348" customFormat="1" ht="12.75">
      <c r="A51" s="880" t="s">
        <v>1139</v>
      </c>
      <c r="B51" s="881"/>
      <c r="C51" s="883">
        <f>ภาระงานบริหาร!F30</f>
        <v>0</v>
      </c>
      <c r="D51" s="884">
        <f>ภาระงานบริหาร!G30</f>
        <v>0</v>
      </c>
      <c r="E51" s="363"/>
      <c r="F51" s="372"/>
      <c r="G51" s="373"/>
      <c r="H51" s="373"/>
      <c r="I51" s="373"/>
      <c r="J51" s="368"/>
      <c r="K51" s="369"/>
      <c r="L51" s="363"/>
    </row>
    <row r="52" spans="1:12" s="348" customFormat="1" ht="15" customHeight="1">
      <c r="A52" s="374" t="s">
        <v>467</v>
      </c>
      <c r="B52" s="375"/>
      <c r="C52" s="376">
        <f>ภาระงานบริหาร!F28+ภาระงานบริหาร!F30</f>
        <v>75</v>
      </c>
      <c r="D52" s="377">
        <f>ภาระงานบริหาร!G28+ภาระงานบริหาร!G30</f>
        <v>5</v>
      </c>
      <c r="E52" s="378"/>
      <c r="F52" s="1353" t="s">
        <v>467</v>
      </c>
      <c r="G52" s="1354"/>
      <c r="H52" s="1354"/>
      <c r="I52" s="1354"/>
      <c r="J52" s="379">
        <f>SUM(J36:J40)</f>
        <v>114</v>
      </c>
      <c r="K52" s="380">
        <f>SUM(K36:K40)</f>
        <v>7.6000000000000005</v>
      </c>
      <c r="L52" s="363"/>
    </row>
    <row r="53" spans="1:12" s="363" customFormat="1" ht="15" customHeight="1">
      <c r="A53" s="702" t="s">
        <v>1140</v>
      </c>
      <c r="B53" s="701"/>
      <c r="C53" s="421"/>
      <c r="D53" s="421"/>
      <c r="E53" s="378"/>
      <c r="F53" s="414"/>
      <c r="G53" s="414"/>
      <c r="H53" s="414"/>
      <c r="I53" s="414"/>
      <c r="J53" s="421"/>
      <c r="K53" s="421"/>
    </row>
    <row r="54" spans="1:12" s="318" customFormat="1" ht="17.100000000000001" customHeight="1">
      <c r="A54" s="381"/>
      <c r="B54" s="345"/>
      <c r="C54" s="382"/>
      <c r="D54" s="317"/>
      <c r="E54" s="346"/>
      <c r="F54" s="351"/>
      <c r="G54" s="383"/>
      <c r="H54" s="345"/>
      <c r="I54" s="363"/>
    </row>
    <row r="55" spans="1:12" s="318" customFormat="1" ht="17.100000000000001" customHeight="1">
      <c r="A55" s="349" t="s">
        <v>524</v>
      </c>
      <c r="B55" s="384"/>
      <c r="C55" s="385"/>
      <c r="D55" s="384"/>
      <c r="E55" s="384"/>
      <c r="F55" s="349" t="s">
        <v>525</v>
      </c>
      <c r="G55" s="386"/>
      <c r="H55" s="384"/>
      <c r="I55" s="363"/>
    </row>
    <row r="56" spans="1:12" s="354" customFormat="1" ht="51">
      <c r="A56" s="387" t="s">
        <v>723</v>
      </c>
      <c r="B56" s="388"/>
      <c r="C56" s="626" t="s">
        <v>486</v>
      </c>
      <c r="D56" s="389" t="s">
        <v>463</v>
      </c>
      <c r="E56" s="390"/>
      <c r="F56" s="1355" t="s">
        <v>724</v>
      </c>
      <c r="G56" s="1356"/>
      <c r="H56" s="1356"/>
      <c r="I56" s="1356"/>
      <c r="J56" s="624" t="s">
        <v>486</v>
      </c>
      <c r="K56" s="625" t="s">
        <v>463</v>
      </c>
      <c r="L56" s="363"/>
    </row>
    <row r="57" spans="1:12" s="354" customFormat="1" ht="17.100000000000001" customHeight="1">
      <c r="A57" s="391" t="s">
        <v>487</v>
      </c>
      <c r="B57" s="392"/>
      <c r="C57" s="393"/>
      <c r="D57" s="394"/>
      <c r="E57" s="390"/>
      <c r="F57" s="370" t="s">
        <v>1195</v>
      </c>
      <c r="G57" s="396"/>
      <c r="H57" s="396"/>
      <c r="I57" s="396"/>
      <c r="J57" s="397">
        <f>'2 ภาระงานวิจัยและผลงานวิชาการ'!H49</f>
        <v>318.71999999999997</v>
      </c>
      <c r="K57" s="398">
        <f>'2 ภาระงานวิจัยและผลงานวิชาการ'!I49</f>
        <v>21.247999999999998</v>
      </c>
      <c r="L57" s="363"/>
    </row>
    <row r="58" spans="1:12" s="354" customFormat="1" ht="17.100000000000001" customHeight="1">
      <c r="A58" s="370" t="s">
        <v>488</v>
      </c>
      <c r="B58" s="399"/>
      <c r="C58" s="390"/>
      <c r="D58" s="400"/>
      <c r="E58" s="390"/>
      <c r="F58" s="370" t="s">
        <v>350</v>
      </c>
      <c r="G58" s="371"/>
      <c r="H58" s="371"/>
      <c r="I58" s="371"/>
      <c r="J58" s="397">
        <f>'2 ภาระงานวิจัยและผลงานวิชาการ'!H59</f>
        <v>0</v>
      </c>
      <c r="K58" s="398">
        <f>'2 ภาระงานวิจัยและผลงานวิชาการ'!I59</f>
        <v>0</v>
      </c>
    </row>
    <row r="59" spans="1:12" s="318" customFormat="1" ht="17.100000000000001" customHeight="1">
      <c r="A59" s="401" t="s">
        <v>489</v>
      </c>
      <c r="B59" s="399"/>
      <c r="C59" s="671">
        <f>'1 ภาระงานสอน'!G77</f>
        <v>0</v>
      </c>
      <c r="D59" s="672">
        <f>'1 ภาระงานสอน'!H77</f>
        <v>0</v>
      </c>
      <c r="E59" s="390"/>
      <c r="F59" s="395" t="s">
        <v>628</v>
      </c>
      <c r="G59" s="396"/>
      <c r="H59" s="396"/>
      <c r="I59" s="396"/>
      <c r="J59" s="397">
        <f>'2 ภาระงานวิจัยและผลงานวิชาการ'!F81</f>
        <v>0</v>
      </c>
      <c r="K59" s="398">
        <f>'2 ภาระงานวิจัยและผลงานวิชาการ'!G81</f>
        <v>0</v>
      </c>
      <c r="L59" s="354"/>
    </row>
    <row r="60" spans="1:12" s="318" customFormat="1" ht="17.100000000000001" customHeight="1">
      <c r="A60" s="401" t="s">
        <v>490</v>
      </c>
      <c r="B60" s="399"/>
      <c r="C60" s="671">
        <f>'1 ภาระงานสอน'!G97</f>
        <v>0</v>
      </c>
      <c r="D60" s="672">
        <f>'1 ภาระงานสอน'!H97</f>
        <v>0</v>
      </c>
      <c r="E60" s="390"/>
      <c r="F60" s="395" t="s">
        <v>906</v>
      </c>
      <c r="G60" s="396"/>
      <c r="H60" s="396"/>
      <c r="I60" s="396"/>
      <c r="J60" s="397">
        <f>'2 ภาระงานวิจัยและผลงานวิชาการ'!F116</f>
        <v>0</v>
      </c>
      <c r="K60" s="398">
        <f>'2 ภาระงานวิจัยและผลงานวิชาการ'!G116</f>
        <v>0</v>
      </c>
      <c r="L60" s="354"/>
    </row>
    <row r="61" spans="1:12" s="318" customFormat="1" ht="17.100000000000001" customHeight="1">
      <c r="A61" s="370" t="s">
        <v>491</v>
      </c>
      <c r="B61" s="399"/>
      <c r="C61" s="671"/>
      <c r="D61" s="672"/>
      <c r="E61" s="390"/>
      <c r="F61" s="370" t="s">
        <v>1218</v>
      </c>
      <c r="G61" s="371"/>
      <c r="H61" s="371"/>
      <c r="I61" s="371"/>
      <c r="J61" s="397">
        <f>'2 ภาระงานวิจัยและผลงานวิชาการ'!F135</f>
        <v>0</v>
      </c>
      <c r="K61" s="398">
        <f>'2 ภาระงานวิจัยและผลงานวิชาการ'!G135</f>
        <v>0</v>
      </c>
      <c r="L61" s="354"/>
    </row>
    <row r="62" spans="1:12" s="318" customFormat="1" ht="17.100000000000001" customHeight="1">
      <c r="A62" s="401" t="s">
        <v>489</v>
      </c>
      <c r="B62" s="399"/>
      <c r="C62" s="671">
        <f>'1 ภาระงานสอน'!G171</f>
        <v>281.25</v>
      </c>
      <c r="D62" s="672">
        <f>'1 ภาระงานสอน'!H171</f>
        <v>18.75</v>
      </c>
      <c r="E62" s="390"/>
      <c r="F62" s="370" t="s">
        <v>893</v>
      </c>
      <c r="G62" s="371"/>
      <c r="H62" s="371"/>
      <c r="I62" s="371"/>
      <c r="J62" s="397">
        <f>'2 ภาระงานวิจัยและผลงานวิชาการ'!F154</f>
        <v>0</v>
      </c>
      <c r="K62" s="398">
        <f>'2 ภาระงานวิจัยและผลงานวิชาการ'!G154</f>
        <v>0</v>
      </c>
      <c r="L62" s="354"/>
    </row>
    <row r="63" spans="1:12" s="318" customFormat="1" ht="17.100000000000001" customHeight="1">
      <c r="A63" s="401" t="s">
        <v>490</v>
      </c>
      <c r="B63" s="399"/>
      <c r="C63" s="671">
        <f>'1 ภาระงานสอน'!G191</f>
        <v>84.15</v>
      </c>
      <c r="D63" s="672">
        <f>'1 ภาระงานสอน'!H191</f>
        <v>5.6099999999999994</v>
      </c>
      <c r="E63" s="390"/>
      <c r="F63" s="370" t="s">
        <v>1196</v>
      </c>
      <c r="G63" s="371"/>
      <c r="H63" s="371"/>
      <c r="I63" s="371"/>
      <c r="J63" s="397">
        <f>'2 ภาระงานวิจัยและผลงานวิชาการ'!F169</f>
        <v>0</v>
      </c>
      <c r="K63" s="398">
        <f>'2 ภาระงานวิจัยและผลงานวิชาการ'!G169</f>
        <v>0</v>
      </c>
      <c r="L63" s="411"/>
    </row>
    <row r="64" spans="1:12" s="318" customFormat="1" ht="17.100000000000001" customHeight="1">
      <c r="A64" s="402" t="s">
        <v>492</v>
      </c>
      <c r="B64" s="399"/>
      <c r="C64" s="671"/>
      <c r="D64" s="672"/>
      <c r="E64" s="390"/>
      <c r="F64" s="370" t="s">
        <v>557</v>
      </c>
      <c r="G64" s="371"/>
      <c r="H64" s="371"/>
      <c r="I64" s="371"/>
      <c r="J64" s="397">
        <f>'2 ภาระงานวิจัยและผลงานวิชาการ'!F179</f>
        <v>0</v>
      </c>
      <c r="K64" s="398">
        <f>'2 ภาระงานวิจัยและผลงานวิชาการ'!G179</f>
        <v>0</v>
      </c>
      <c r="L64" s="411"/>
    </row>
    <row r="65" spans="1:12" s="318" customFormat="1" ht="17.100000000000001" customHeight="1">
      <c r="A65" s="401" t="s">
        <v>489</v>
      </c>
      <c r="B65" s="399"/>
      <c r="C65" s="671">
        <f>'1 ภาระงานสอน'!G200</f>
        <v>0</v>
      </c>
      <c r="D65" s="672">
        <f>'1 ภาระงานสอน'!H200</f>
        <v>0</v>
      </c>
      <c r="E65" s="390"/>
      <c r="F65" s="370" t="s">
        <v>564</v>
      </c>
      <c r="G65" s="371"/>
      <c r="H65" s="371"/>
      <c r="I65" s="371"/>
      <c r="J65" s="397">
        <f>'2 ภาระงานวิจัยและผลงานวิชาการ'!F189</f>
        <v>0</v>
      </c>
      <c r="K65" s="398">
        <f>'2 ภาระงานวิจัยและผลงานวิชาการ'!G189</f>
        <v>0</v>
      </c>
      <c r="L65" s="411"/>
    </row>
    <row r="66" spans="1:12" s="318" customFormat="1" ht="17.100000000000001" customHeight="1">
      <c r="A66" s="401" t="s">
        <v>490</v>
      </c>
      <c r="B66" s="399"/>
      <c r="C66" s="671">
        <f>'1 ภาระงานสอน'!G213</f>
        <v>0</v>
      </c>
      <c r="D66" s="672">
        <f>'1 ภาระงานสอน'!H213</f>
        <v>0</v>
      </c>
      <c r="E66" s="403"/>
      <c r="F66" s="370" t="s">
        <v>348</v>
      </c>
      <c r="G66" s="371"/>
      <c r="H66" s="371"/>
      <c r="I66" s="371"/>
      <c r="J66" s="397">
        <f>'2 ภาระงานวิจัยและผลงานวิชาการ'!F198</f>
        <v>0</v>
      </c>
      <c r="K66" s="398">
        <f>'2 ภาระงานวิจัยและผลงานวิชาการ'!G198</f>
        <v>0</v>
      </c>
      <c r="L66" s="411"/>
    </row>
    <row r="67" spans="1:12" s="318" customFormat="1" ht="17.100000000000001" customHeight="1">
      <c r="A67" s="370" t="s">
        <v>508</v>
      </c>
      <c r="B67" s="404"/>
      <c r="C67" s="673">
        <f>'1 ภาระงานสอน'!G220</f>
        <v>0</v>
      </c>
      <c r="D67" s="674">
        <f>'1 ภาระงานสอน'!H220</f>
        <v>0</v>
      </c>
      <c r="E67" s="403"/>
      <c r="F67" s="370" t="s">
        <v>349</v>
      </c>
      <c r="G67" s="371"/>
      <c r="H67" s="371"/>
      <c r="I67" s="371"/>
      <c r="J67" s="397">
        <f>'2 ภาระงานวิจัยและผลงานวิชาการ'!F211</f>
        <v>0</v>
      </c>
      <c r="K67" s="398">
        <f>'2 ภาระงานวิจัยและผลงานวิชาการ'!G211</f>
        <v>0</v>
      </c>
      <c r="L67" s="411"/>
    </row>
    <row r="68" spans="1:12" s="348" customFormat="1" ht="17.100000000000001" customHeight="1">
      <c r="A68" s="370" t="s">
        <v>731</v>
      </c>
      <c r="B68" s="404"/>
      <c r="C68" s="673">
        <f>'1 ภาระงานสอน'!G227</f>
        <v>0</v>
      </c>
      <c r="D68" s="674">
        <f>'1 ภาระงานสอน'!H227</f>
        <v>0</v>
      </c>
      <c r="E68" s="403"/>
      <c r="F68" s="370" t="s">
        <v>298</v>
      </c>
      <c r="G68" s="371"/>
      <c r="H68" s="371"/>
      <c r="I68" s="371"/>
      <c r="J68" s="397">
        <f>'2 ภาระงานวิจัยและผลงานวิชาการ'!F226</f>
        <v>0</v>
      </c>
      <c r="K68" s="398">
        <f>'2 ภาระงานวิจัยและผลงานวิชาการ'!G226</f>
        <v>0</v>
      </c>
      <c r="L68" s="411"/>
    </row>
    <row r="69" spans="1:12" s="348" customFormat="1" ht="17.100000000000001" customHeight="1">
      <c r="A69" s="370" t="s">
        <v>511</v>
      </c>
      <c r="B69" s="404"/>
      <c r="C69" s="673">
        <f>'1 ภาระงานสอน'!G234</f>
        <v>0</v>
      </c>
      <c r="D69" s="674">
        <f>'1 ภาระงานสอน'!H234</f>
        <v>0</v>
      </c>
      <c r="E69" s="403"/>
      <c r="F69" s="370" t="s">
        <v>1202</v>
      </c>
      <c r="G69" s="371"/>
      <c r="H69" s="371"/>
      <c r="I69" s="371"/>
      <c r="J69" s="397">
        <f>'2 ภาระงานวิจัยและผลงานวิชาการ'!F274</f>
        <v>0</v>
      </c>
      <c r="K69" s="398">
        <f>'2 ภาระงานวิจัยและผลงานวิชาการ'!G274</f>
        <v>0</v>
      </c>
      <c r="L69" s="411"/>
    </row>
    <row r="70" spans="1:12" s="348" customFormat="1" ht="17.100000000000001" customHeight="1">
      <c r="A70" s="370" t="s">
        <v>343</v>
      </c>
      <c r="B70" s="404"/>
      <c r="C70" s="673">
        <f>'1 ภาระงานสอน'!G248</f>
        <v>0</v>
      </c>
      <c r="D70" s="674">
        <f>'1 ภาระงานสอน'!H248</f>
        <v>0</v>
      </c>
      <c r="E70" s="403"/>
      <c r="F70" s="370" t="s">
        <v>722</v>
      </c>
      <c r="G70" s="371"/>
      <c r="H70" s="371"/>
      <c r="I70" s="371"/>
      <c r="J70" s="397">
        <f>'2 ภาระงานวิจัยและผลงานวิชาการ'!F318</f>
        <v>0</v>
      </c>
      <c r="K70" s="398">
        <f>'2 ภาระงานวิจัยและผลงานวิชาการ'!G318</f>
        <v>0</v>
      </c>
      <c r="L70" s="411"/>
    </row>
    <row r="71" spans="1:12" s="348" customFormat="1" ht="17.100000000000001" customHeight="1">
      <c r="A71" s="370" t="s">
        <v>522</v>
      </c>
      <c r="B71" s="404"/>
      <c r="C71" s="673">
        <f>'1 ภาระงานสอน'!G257</f>
        <v>0</v>
      </c>
      <c r="D71" s="674">
        <f>'1 ภาระงานสอน'!H257</f>
        <v>0</v>
      </c>
      <c r="E71" s="403"/>
      <c r="F71" s="370"/>
      <c r="G71" s="371"/>
      <c r="H71" s="371"/>
      <c r="I71" s="371"/>
      <c r="J71" s="397"/>
      <c r="K71" s="398"/>
      <c r="L71" s="411"/>
    </row>
    <row r="72" spans="1:12" s="348" customFormat="1" ht="17.100000000000001" customHeight="1">
      <c r="A72" s="370" t="s">
        <v>344</v>
      </c>
      <c r="B72" s="404"/>
      <c r="C72" s="673">
        <f>'1 ภาระงานสอน'!G267</f>
        <v>0</v>
      </c>
      <c r="D72" s="674">
        <f>'1 ภาระงานสอน'!H267</f>
        <v>0</v>
      </c>
      <c r="E72" s="403"/>
      <c r="F72" s="370"/>
      <c r="G72" s="371"/>
      <c r="H72" s="371"/>
      <c r="I72" s="371"/>
      <c r="J72" s="368"/>
      <c r="K72" s="369"/>
      <c r="L72" s="411"/>
    </row>
    <row r="73" spans="1:12" s="348" customFormat="1" ht="17.100000000000001" customHeight="1">
      <c r="A73" s="370" t="s">
        <v>345</v>
      </c>
      <c r="B73" s="404"/>
      <c r="C73" s="673">
        <f>'1 ภาระงานสอน'!G275</f>
        <v>0</v>
      </c>
      <c r="D73" s="674">
        <f>'1 ภาระงานสอน'!H275</f>
        <v>0</v>
      </c>
      <c r="E73" s="403"/>
      <c r="F73" s="405"/>
      <c r="G73" s="403"/>
      <c r="H73" s="403"/>
      <c r="I73" s="403"/>
      <c r="J73" s="406"/>
      <c r="K73" s="407"/>
      <c r="L73" s="411"/>
    </row>
    <row r="74" spans="1:12" s="348" customFormat="1" ht="17.100000000000001" customHeight="1">
      <c r="A74" s="370" t="s">
        <v>512</v>
      </c>
      <c r="B74" s="404"/>
      <c r="C74" s="673">
        <f>'1 ภาระงานสอน'!G288</f>
        <v>0</v>
      </c>
      <c r="D74" s="674">
        <f>'1 ภาระงานสอน'!H288</f>
        <v>0</v>
      </c>
      <c r="E74" s="403"/>
      <c r="F74" s="405"/>
      <c r="G74" s="403"/>
      <c r="H74" s="403"/>
      <c r="I74" s="403"/>
      <c r="J74" s="406"/>
      <c r="K74" s="407"/>
      <c r="L74" s="411"/>
    </row>
    <row r="75" spans="1:12" s="363" customFormat="1" ht="17.100000000000001" customHeight="1">
      <c r="A75" s="370" t="s">
        <v>513</v>
      </c>
      <c r="B75" s="404"/>
      <c r="C75" s="673">
        <f>'1 ภาระงานสอน'!G298</f>
        <v>15</v>
      </c>
      <c r="D75" s="674">
        <f>'1 ภาระงานสอน'!H298</f>
        <v>1</v>
      </c>
      <c r="E75" s="403"/>
      <c r="F75" s="405"/>
      <c r="G75" s="403"/>
      <c r="H75" s="403"/>
      <c r="I75" s="403"/>
      <c r="J75" s="406"/>
      <c r="K75" s="407"/>
      <c r="L75" s="411"/>
    </row>
    <row r="76" spans="1:12" s="363" customFormat="1" ht="17.100000000000001" customHeight="1">
      <c r="A76" s="370" t="s">
        <v>514</v>
      </c>
      <c r="B76" s="404"/>
      <c r="C76" s="673">
        <f>'1 ภาระงานสอน'!G308</f>
        <v>0</v>
      </c>
      <c r="D76" s="674">
        <f>'1 ภาระงานสอน'!H308</f>
        <v>0</v>
      </c>
      <c r="E76" s="403"/>
      <c r="F76" s="405"/>
      <c r="G76" s="403"/>
      <c r="H76" s="403"/>
      <c r="I76" s="403"/>
      <c r="J76" s="406"/>
      <c r="K76" s="407"/>
      <c r="L76" s="411"/>
    </row>
    <row r="77" spans="1:12" s="363" customFormat="1" ht="17.100000000000001" customHeight="1">
      <c r="A77" s="370" t="s">
        <v>515</v>
      </c>
      <c r="B77" s="404"/>
      <c r="C77" s="673">
        <f>'1 ภาระงานสอน'!G314</f>
        <v>0</v>
      </c>
      <c r="D77" s="674">
        <f>'1 ภาระงานสอน'!H314</f>
        <v>0</v>
      </c>
      <c r="E77" s="403"/>
      <c r="F77" s="405"/>
      <c r="G77" s="403"/>
      <c r="H77" s="403"/>
      <c r="I77" s="403"/>
      <c r="J77" s="406"/>
      <c r="K77" s="407"/>
      <c r="L77" s="411"/>
    </row>
    <row r="78" spans="1:12" s="363" customFormat="1" ht="17.100000000000001" customHeight="1">
      <c r="A78" s="370" t="s">
        <v>1133</v>
      </c>
      <c r="B78" s="404"/>
      <c r="C78" s="673">
        <f>'1 ภาระงานสอน'!G325</f>
        <v>0</v>
      </c>
      <c r="D78" s="674">
        <f>'1 ภาระงานสอน'!H325</f>
        <v>0</v>
      </c>
      <c r="E78" s="403"/>
      <c r="F78" s="405"/>
      <c r="G78" s="403"/>
      <c r="H78" s="403"/>
      <c r="I78" s="403"/>
      <c r="J78" s="406"/>
      <c r="K78" s="407"/>
      <c r="L78" s="411"/>
    </row>
    <row r="79" spans="1:12" s="363" customFormat="1" ht="17.100000000000001" customHeight="1">
      <c r="A79" s="370" t="s">
        <v>523</v>
      </c>
      <c r="B79" s="408"/>
      <c r="C79" s="675">
        <f>'1 ภาระงานสอน'!G363</f>
        <v>169.4</v>
      </c>
      <c r="D79" s="676">
        <f>'1 ภาระงานสอน'!H363</f>
        <v>11.293333333333333</v>
      </c>
      <c r="E79" s="403"/>
      <c r="F79" s="405"/>
      <c r="G79" s="403"/>
      <c r="H79" s="403"/>
      <c r="I79" s="403"/>
      <c r="J79" s="406"/>
      <c r="K79" s="407"/>
      <c r="L79" s="411"/>
    </row>
    <row r="80" spans="1:12" s="363" customFormat="1" ht="17.100000000000001" customHeight="1">
      <c r="A80" s="1353" t="s">
        <v>462</v>
      </c>
      <c r="B80" s="1354"/>
      <c r="C80" s="677">
        <f>SUM(C59:C79)</f>
        <v>549.79999999999995</v>
      </c>
      <c r="D80" s="678">
        <f>SUM(D59:D79)</f>
        <v>36.653333333333336</v>
      </c>
      <c r="E80" s="409"/>
      <c r="F80" s="1353" t="s">
        <v>462</v>
      </c>
      <c r="G80" s="1354"/>
      <c r="H80" s="1354"/>
      <c r="I80" s="1354"/>
      <c r="J80" s="379">
        <f>SUM(J57:J70)</f>
        <v>318.71999999999997</v>
      </c>
      <c r="K80" s="380">
        <f>SUM(K57:K70)</f>
        <v>21.247999999999998</v>
      </c>
      <c r="L80" s="411"/>
    </row>
    <row r="81" spans="1:12" s="363" customFormat="1" ht="17.100000000000001" customHeight="1">
      <c r="A81" s="345"/>
      <c r="B81" s="382"/>
      <c r="C81" s="346"/>
      <c r="D81" s="346"/>
      <c r="E81" s="410"/>
      <c r="F81" s="345"/>
      <c r="G81" s="346"/>
      <c r="H81" s="346"/>
      <c r="I81" s="411"/>
    </row>
    <row r="82" spans="1:12" s="363" customFormat="1" ht="17.100000000000001" customHeight="1">
      <c r="A82" s="349" t="s">
        <v>1259</v>
      </c>
      <c r="B82" s="354"/>
      <c r="C82" s="385"/>
      <c r="D82" s="385"/>
      <c r="E82" s="384"/>
      <c r="F82" s="349" t="s">
        <v>687</v>
      </c>
      <c r="G82" s="385"/>
      <c r="H82" s="354"/>
      <c r="I82" s="411"/>
    </row>
    <row r="83" spans="1:12" s="354" customFormat="1" ht="51">
      <c r="A83" s="1357" t="s">
        <v>725</v>
      </c>
      <c r="B83" s="1358"/>
      <c r="C83" s="412" t="s">
        <v>486</v>
      </c>
      <c r="D83" s="413" t="s">
        <v>463</v>
      </c>
      <c r="E83" s="414"/>
      <c r="F83" s="1359" t="s">
        <v>726</v>
      </c>
      <c r="G83" s="1360"/>
      <c r="H83" s="1360"/>
      <c r="I83" s="1360"/>
      <c r="J83" s="415" t="s">
        <v>486</v>
      </c>
      <c r="K83" s="416" t="s">
        <v>463</v>
      </c>
      <c r="L83" s="411"/>
    </row>
    <row r="84" spans="1:12" s="354" customFormat="1" ht="17.100000000000001" customHeight="1">
      <c r="A84" s="364" t="s">
        <v>688</v>
      </c>
      <c r="B84" s="367"/>
      <c r="C84" s="361">
        <f>'3 บริการวิชาการฯ'!G12</f>
        <v>84</v>
      </c>
      <c r="D84" s="362">
        <f>'3 บริการวิชาการฯ'!H12</f>
        <v>5.6</v>
      </c>
      <c r="E84" s="403"/>
      <c r="F84" s="372" t="s">
        <v>696</v>
      </c>
      <c r="G84" s="373"/>
      <c r="H84" s="373"/>
      <c r="I84" s="373"/>
      <c r="J84" s="417">
        <f>'4 ทำนุบำรุงศิลปะ'!F19</f>
        <v>20</v>
      </c>
      <c r="K84" s="418">
        <f>'4 ทำนุบำรุงศิลปะ'!G19</f>
        <v>1.3333333333333333</v>
      </c>
      <c r="L84" s="411"/>
    </row>
    <row r="85" spans="1:12" s="354" customFormat="1" ht="17.100000000000001" customHeight="1">
      <c r="A85" s="370" t="s">
        <v>460</v>
      </c>
      <c r="B85" s="367"/>
      <c r="C85" s="368">
        <f>'3 บริการวิชาการฯ'!G23</f>
        <v>0</v>
      </c>
      <c r="D85" s="369">
        <f>'3 บริการวิชาการฯ'!H23</f>
        <v>0</v>
      </c>
      <c r="E85" s="403"/>
      <c r="F85" s="372" t="s">
        <v>695</v>
      </c>
      <c r="G85" s="373"/>
      <c r="H85" s="373"/>
      <c r="I85" s="373"/>
      <c r="J85" s="417">
        <f>'4 ทำนุบำรุงศิลปะ'!F31</f>
        <v>15</v>
      </c>
      <c r="K85" s="418">
        <f>'4 ทำนุบำรุงศิลปะ'!G31</f>
        <v>1</v>
      </c>
      <c r="L85" s="411"/>
    </row>
    <row r="86" spans="1:12" s="354" customFormat="1" ht="17.100000000000001" customHeight="1">
      <c r="A86" s="419" t="s">
        <v>634</v>
      </c>
      <c r="B86" s="367"/>
      <c r="C86" s="368">
        <f>'3 บริการวิชาการฯ'!G43</f>
        <v>0</v>
      </c>
      <c r="D86" s="369">
        <f>'3 บริการวิชาการฯ'!H43</f>
        <v>0</v>
      </c>
      <c r="E86" s="403"/>
      <c r="F86" s="372" t="s">
        <v>330</v>
      </c>
      <c r="G86" s="373"/>
      <c r="H86" s="373"/>
      <c r="I86" s="373"/>
      <c r="J86" s="417">
        <f>'4 ทำนุบำรุงศิลปะ'!F43</f>
        <v>24</v>
      </c>
      <c r="K86" s="418">
        <f>'4 ทำนุบำรุงศิลปะ'!G43</f>
        <v>1.5999999999999999</v>
      </c>
      <c r="L86" s="411"/>
    </row>
    <row r="87" spans="1:12" s="354" customFormat="1" ht="17.100000000000001" customHeight="1">
      <c r="A87" s="419" t="s">
        <v>289</v>
      </c>
      <c r="B87" s="367"/>
      <c r="C87" s="368">
        <f>'3 บริการวิชาการฯ'!G54</f>
        <v>0</v>
      </c>
      <c r="D87" s="369">
        <f>'3 บริการวิชาการฯ'!H54</f>
        <v>0</v>
      </c>
      <c r="E87" s="403"/>
      <c r="F87" s="372" t="s">
        <v>1087</v>
      </c>
      <c r="G87" s="373"/>
      <c r="H87" s="373"/>
      <c r="I87" s="373"/>
      <c r="J87" s="417">
        <f>'4 ทำนุบำรุงศิลปะ'!F57</f>
        <v>0</v>
      </c>
      <c r="K87" s="418">
        <f>'4 ทำนุบำรุงศิลปะ'!G57</f>
        <v>0</v>
      </c>
      <c r="L87" s="411"/>
    </row>
    <row r="88" spans="1:12" ht="17.100000000000001" customHeight="1">
      <c r="A88" s="370" t="s">
        <v>720</v>
      </c>
      <c r="B88" s="367"/>
      <c r="C88" s="368">
        <f>'3 บริการวิชาการฯ'!G65</f>
        <v>0</v>
      </c>
      <c r="D88" s="369">
        <f>'3 บริการวิชาการฯ'!H65</f>
        <v>0</v>
      </c>
      <c r="E88" s="403"/>
      <c r="F88" s="1353" t="s">
        <v>462</v>
      </c>
      <c r="G88" s="1354"/>
      <c r="H88" s="1354"/>
      <c r="I88" s="1354"/>
      <c r="J88" s="379">
        <f>SUM(J84:J87)</f>
        <v>59</v>
      </c>
      <c r="K88" s="380">
        <f>SUM(K84:K87)</f>
        <v>3.9333333333333327</v>
      </c>
    </row>
    <row r="89" spans="1:12" ht="17.100000000000001" customHeight="1">
      <c r="A89" s="370" t="s">
        <v>650</v>
      </c>
      <c r="B89" s="367"/>
      <c r="C89" s="368">
        <f>'3 บริการวิชาการฯ'!G76</f>
        <v>15</v>
      </c>
      <c r="D89" s="369">
        <f>'3 บริการวิชาการฯ'!H76</f>
        <v>1</v>
      </c>
      <c r="E89" s="403"/>
      <c r="F89" s="390"/>
      <c r="G89" s="390"/>
      <c r="H89" s="390"/>
    </row>
    <row r="90" spans="1:12" ht="17.100000000000001" customHeight="1">
      <c r="A90" s="370" t="s">
        <v>652</v>
      </c>
      <c r="B90" s="367"/>
      <c r="C90" s="368">
        <f>'3 บริการวิชาการฯ'!G88</f>
        <v>0</v>
      </c>
      <c r="D90" s="369">
        <f>'3 บริการวิชาการฯ'!H88</f>
        <v>0</v>
      </c>
      <c r="E90" s="403"/>
      <c r="F90" s="390"/>
      <c r="G90" s="390"/>
      <c r="H90" s="390"/>
    </row>
    <row r="91" spans="1:12" ht="17.100000000000001" customHeight="1">
      <c r="A91" s="370" t="s">
        <v>653</v>
      </c>
      <c r="B91" s="367"/>
      <c r="C91" s="368">
        <f>'3 บริการวิชาการฯ'!G127</f>
        <v>0</v>
      </c>
      <c r="D91" s="369">
        <f>'3 บริการวิชาการฯ'!H127</f>
        <v>0</v>
      </c>
      <c r="E91" s="390"/>
      <c r="F91" s="390"/>
      <c r="G91" s="390"/>
      <c r="H91" s="390"/>
    </row>
    <row r="92" spans="1:12" ht="17.100000000000001" customHeight="1">
      <c r="A92" s="370" t="s">
        <v>654</v>
      </c>
      <c r="B92" s="367"/>
      <c r="C92" s="368">
        <f>'3 บริการวิชาการฯ'!G139</f>
        <v>0</v>
      </c>
      <c r="D92" s="369">
        <f>'3 บริการวิชาการฯ'!H139</f>
        <v>0</v>
      </c>
      <c r="E92" s="403"/>
      <c r="F92" s="390"/>
      <c r="G92" s="390"/>
      <c r="H92" s="390"/>
    </row>
    <row r="93" spans="1:12" ht="17.100000000000001" customHeight="1">
      <c r="A93" s="370" t="s">
        <v>655</v>
      </c>
      <c r="B93" s="367"/>
      <c r="C93" s="368">
        <f>'3 บริการวิชาการฯ'!G151</f>
        <v>0</v>
      </c>
      <c r="D93" s="369">
        <f>'3 บริการวิชาการฯ'!H151</f>
        <v>0</v>
      </c>
      <c r="E93" s="403"/>
      <c r="F93" s="390"/>
      <c r="G93" s="390"/>
      <c r="H93" s="390"/>
    </row>
    <row r="94" spans="1:12" ht="17.100000000000001" customHeight="1">
      <c r="A94" s="370" t="s">
        <v>656</v>
      </c>
      <c r="B94" s="367"/>
      <c r="C94" s="368">
        <f>'3 บริการวิชาการฯ'!G178</f>
        <v>0</v>
      </c>
      <c r="D94" s="369">
        <f>'3 บริการวิชาการฯ'!H178</f>
        <v>0</v>
      </c>
      <c r="E94" s="403"/>
      <c r="F94" s="390"/>
      <c r="G94" s="390"/>
      <c r="H94" s="390"/>
    </row>
    <row r="95" spans="1:12" ht="17.100000000000001" customHeight="1">
      <c r="A95" s="370" t="s">
        <v>483</v>
      </c>
      <c r="B95" s="367"/>
      <c r="C95" s="368">
        <f>'3 บริการวิชาการฯ'!G190</f>
        <v>0</v>
      </c>
      <c r="D95" s="369">
        <f>'3 บริการวิชาการฯ'!H190</f>
        <v>0</v>
      </c>
      <c r="E95" s="403"/>
      <c r="F95" s="420"/>
      <c r="G95" s="420"/>
      <c r="H95" s="390"/>
    </row>
    <row r="96" spans="1:12" ht="17.100000000000001" customHeight="1">
      <c r="A96" s="370" t="s">
        <v>484</v>
      </c>
      <c r="B96" s="367"/>
      <c r="C96" s="368">
        <f>'3 บริการวิชาการฯ'!G202</f>
        <v>0</v>
      </c>
      <c r="D96" s="369">
        <f>'3 บริการวิชาการฯ'!H202</f>
        <v>0</v>
      </c>
      <c r="E96" s="403"/>
      <c r="F96" s="420"/>
      <c r="G96" s="420"/>
      <c r="H96" s="390"/>
    </row>
    <row r="97" spans="1:8" ht="17.100000000000001" customHeight="1">
      <c r="A97" s="370" t="s">
        <v>661</v>
      </c>
      <c r="B97" s="367"/>
      <c r="C97" s="368">
        <f>'3 บริการวิชาการฯ'!G213</f>
        <v>0</v>
      </c>
      <c r="D97" s="369">
        <f>'3 บริการวิชาการฯ'!H213</f>
        <v>0</v>
      </c>
      <c r="E97" s="403"/>
      <c r="F97" s="420"/>
      <c r="G97" s="420"/>
      <c r="H97" s="390"/>
    </row>
    <row r="98" spans="1:8" ht="17.100000000000001" customHeight="1">
      <c r="A98" s="370" t="s">
        <v>669</v>
      </c>
      <c r="B98" s="367"/>
      <c r="C98" s="368">
        <f>'3 บริการวิชาการฯ'!G233</f>
        <v>0</v>
      </c>
      <c r="D98" s="369">
        <f>'3 บริการวิชาการฯ'!H233</f>
        <v>0</v>
      </c>
      <c r="E98" s="403"/>
      <c r="F98" s="420"/>
      <c r="G98" s="420"/>
      <c r="H98" s="390"/>
    </row>
    <row r="99" spans="1:8" ht="17.100000000000001" customHeight="1">
      <c r="A99" s="370" t="s">
        <v>668</v>
      </c>
      <c r="B99" s="367"/>
      <c r="C99" s="368">
        <f>'3 บริการวิชาการฯ'!G245</f>
        <v>3</v>
      </c>
      <c r="D99" s="369">
        <f>'3 บริการวิชาการฯ'!H245</f>
        <v>0.2</v>
      </c>
      <c r="E99" s="403"/>
      <c r="F99" s="390"/>
      <c r="G99" s="390"/>
      <c r="H99" s="390"/>
    </row>
    <row r="100" spans="1:8" ht="17.100000000000001" customHeight="1">
      <c r="A100" s="370" t="s">
        <v>672</v>
      </c>
      <c r="B100" s="367"/>
      <c r="C100" s="368">
        <f>'3 บริการวิชาการฯ'!G283</f>
        <v>25</v>
      </c>
      <c r="D100" s="369">
        <f>'3 บริการวิชาการฯ'!H283</f>
        <v>1.6666666666666667</v>
      </c>
      <c r="E100" s="409"/>
      <c r="F100" s="409"/>
      <c r="G100" s="406"/>
      <c r="H100" s="421"/>
    </row>
    <row r="101" spans="1:8" ht="17.100000000000001" customHeight="1">
      <c r="A101" s="370" t="s">
        <v>678</v>
      </c>
      <c r="B101" s="367"/>
      <c r="C101" s="368">
        <f>'3 บริการวิชาการฯ'!G321</f>
        <v>5</v>
      </c>
      <c r="D101" s="369">
        <f>'3 บริการวิชาการฯ'!H321</f>
        <v>0.33333333333333331</v>
      </c>
      <c r="E101" s="409"/>
      <c r="F101" s="403"/>
      <c r="G101" s="422"/>
      <c r="H101" s="363"/>
    </row>
    <row r="102" spans="1:8" ht="17.100000000000001" customHeight="1">
      <c r="A102" s="370" t="s">
        <v>721</v>
      </c>
      <c r="B102" s="367"/>
      <c r="C102" s="368">
        <f>'3 บริการวิชาการฯ'!G329</f>
        <v>5</v>
      </c>
      <c r="D102" s="369">
        <f>'3 บริการวิชาการฯ'!H329</f>
        <v>0.33333333333333331</v>
      </c>
      <c r="E102" s="409"/>
      <c r="F102" s="403"/>
      <c r="G102" s="363"/>
      <c r="H102" s="363"/>
    </row>
    <row r="103" spans="1:8" ht="17.100000000000001" customHeight="1">
      <c r="A103" s="370" t="s">
        <v>681</v>
      </c>
      <c r="B103" s="367"/>
      <c r="C103" s="368">
        <f>'3 บริการวิชาการฯ'!G340</f>
        <v>0</v>
      </c>
      <c r="D103" s="369">
        <f>'3 บริการวิชาการฯ'!H340</f>
        <v>0</v>
      </c>
      <c r="E103" s="409"/>
      <c r="F103" s="381"/>
      <c r="G103" s="386"/>
      <c r="H103" s="423"/>
    </row>
    <row r="104" spans="1:8" ht="17.100000000000001" customHeight="1">
      <c r="A104" s="419" t="s">
        <v>1261</v>
      </c>
      <c r="B104" s="425"/>
      <c r="C104" s="368">
        <f>'3 บริการวิชาการฯ'!G351</f>
        <v>15</v>
      </c>
      <c r="D104" s="369">
        <f>'3 บริการวิชาการฯ'!H351</f>
        <v>1</v>
      </c>
      <c r="E104" s="403"/>
      <c r="F104" s="381"/>
      <c r="G104" s="386"/>
      <c r="H104" s="424"/>
    </row>
    <row r="105" spans="1:8" ht="17.100000000000001" customHeight="1">
      <c r="A105" s="419" t="s">
        <v>1262</v>
      </c>
      <c r="B105" s="425"/>
      <c r="C105" s="368">
        <f>'3 บริการวิชาการฯ'!G362</f>
        <v>27</v>
      </c>
      <c r="D105" s="369">
        <f>'3 บริการวิชาการฯ'!H362</f>
        <v>1.8</v>
      </c>
      <c r="E105" s="403"/>
      <c r="F105" s="381"/>
      <c r="G105" s="386"/>
      <c r="H105" s="426"/>
    </row>
    <row r="106" spans="1:8" ht="17.100000000000001" customHeight="1">
      <c r="A106" s="370" t="s">
        <v>485</v>
      </c>
      <c r="B106" s="425"/>
      <c r="C106" s="368">
        <f>'3 บริการวิชาการฯ'!G392</f>
        <v>0</v>
      </c>
      <c r="D106" s="369">
        <f>'3 บริการวิชาการฯ'!H392</f>
        <v>0</v>
      </c>
      <c r="E106" s="409"/>
      <c r="F106" s="381"/>
      <c r="G106" s="354"/>
      <c r="H106" s="354"/>
    </row>
    <row r="107" spans="1:8" ht="17.100000000000001" customHeight="1">
      <c r="A107" s="370" t="s">
        <v>683</v>
      </c>
      <c r="B107" s="425"/>
      <c r="C107" s="368">
        <f>'3 บริการวิชาการฯ'!G403</f>
        <v>0</v>
      </c>
      <c r="D107" s="369">
        <f>'3 บริการวิชาการฯ'!H403</f>
        <v>0</v>
      </c>
      <c r="E107" s="354"/>
      <c r="F107" s="381"/>
      <c r="G107" s="354"/>
      <c r="H107" s="354"/>
    </row>
    <row r="108" spans="1:8" ht="17.100000000000001" customHeight="1">
      <c r="A108" s="370" t="s">
        <v>1124</v>
      </c>
      <c r="B108" s="425"/>
      <c r="C108" s="368">
        <f>'3 บริการวิชาการฯ'!G414</f>
        <v>0</v>
      </c>
      <c r="D108" s="369">
        <f>'3 บริการวิชาการฯ'!H414</f>
        <v>0</v>
      </c>
      <c r="E108" s="354"/>
    </row>
    <row r="109" spans="1:8" ht="17.100000000000001" customHeight="1">
      <c r="A109" s="370" t="s">
        <v>684</v>
      </c>
      <c r="B109" s="367"/>
      <c r="C109" s="368">
        <f>'3 บริการวิชาการฯ'!G425</f>
        <v>0</v>
      </c>
      <c r="D109" s="369">
        <f>'3 บริการวิชาการฯ'!H425</f>
        <v>0</v>
      </c>
      <c r="E109" s="354"/>
    </row>
    <row r="110" spans="1:8">
      <c r="A110" s="1353" t="s">
        <v>462</v>
      </c>
      <c r="B110" s="1354"/>
      <c r="C110" s="379">
        <f>SUM(C84:C109)</f>
        <v>179</v>
      </c>
      <c r="D110" s="380">
        <f>SUM(D84:D109)</f>
        <v>11.933333333333335</v>
      </c>
      <c r="E110" s="429" t="s">
        <v>465</v>
      </c>
    </row>
    <row r="111" spans="1:8">
      <c r="A111" s="386"/>
      <c r="B111" s="354"/>
      <c r="C111" s="354"/>
      <c r="D111" s="354"/>
      <c r="E111" s="430"/>
    </row>
    <row r="112" spans="1:8">
      <c r="A112" s="354"/>
      <c r="B112" s="354"/>
      <c r="C112" s="354"/>
      <c r="D112" s="354"/>
    </row>
    <row r="113" spans="1:12">
      <c r="A113" s="354"/>
      <c r="B113" s="354"/>
      <c r="C113" s="385"/>
      <c r="D113" s="354"/>
    </row>
    <row r="114" spans="1:12" s="427" customFormat="1">
      <c r="A114" s="354"/>
      <c r="B114" s="354"/>
      <c r="C114" s="385"/>
      <c r="D114" s="354"/>
      <c r="G114" s="428"/>
      <c r="I114" s="411"/>
      <c r="J114" s="411"/>
      <c r="K114" s="411"/>
      <c r="L114" s="411"/>
    </row>
    <row r="115" spans="1:12" s="427" customFormat="1">
      <c r="A115" s="354"/>
      <c r="B115" s="354"/>
      <c r="C115" s="385"/>
      <c r="D115" s="429"/>
      <c r="G115" s="428"/>
      <c r="I115" s="411"/>
      <c r="J115" s="411"/>
      <c r="K115" s="411"/>
      <c r="L115" s="411"/>
    </row>
  </sheetData>
  <sheetProtection password="C924" sheet="1"/>
  <mergeCells count="17">
    <mergeCell ref="A1:K1"/>
    <mergeCell ref="A2:K2"/>
    <mergeCell ref="A3:K3"/>
    <mergeCell ref="A35:B35"/>
    <mergeCell ref="F35:I35"/>
    <mergeCell ref="A9:C9"/>
    <mergeCell ref="K29:K30"/>
    <mergeCell ref="K31:K32"/>
    <mergeCell ref="B24:H24"/>
    <mergeCell ref="F88:I88"/>
    <mergeCell ref="A110:B110"/>
    <mergeCell ref="F52:I52"/>
    <mergeCell ref="F56:I56"/>
    <mergeCell ref="A80:B80"/>
    <mergeCell ref="F80:I80"/>
    <mergeCell ref="A83:B83"/>
    <mergeCell ref="F83:I83"/>
  </mergeCells>
  <phoneticPr fontId="78" type="noConversion"/>
  <conditionalFormatting sqref="K25:K28">
    <cfRule type="containsText" dxfId="4" priority="5" stopIfTrue="1" operator="containsText" text="Unsatisfied">
      <formula>NOT(ISERROR(SEARCH("Unsatisfied",K25)))</formula>
    </cfRule>
    <cfRule type="containsText" dxfId="3" priority="6" stopIfTrue="1" operator="containsText" text="Satisfied">
      <formula>NOT(ISERROR(SEARCH("Satisfied",K25)))</formula>
    </cfRule>
    <cfRule type="expression" dxfId="2" priority="8" stopIfTrue="1">
      <formula>IF($K$25:$K$28,"Satisfied")</formula>
    </cfRule>
  </conditionalFormatting>
  <conditionalFormatting sqref="K29 K31">
    <cfRule type="containsText" dxfId="1" priority="3" stopIfTrue="1" operator="containsText" text="Unsatisfied">
      <formula>NOT(ISERROR(SEARCH("Unsatisfied",K29)))</formula>
    </cfRule>
    <cfRule type="containsText" dxfId="0" priority="4" stopIfTrue="1" operator="containsText" text="Satisfied">
      <formula>NOT(ISERROR(SEARCH("Satisfied",K29)))</formula>
    </cfRule>
  </conditionalFormatting>
  <pageMargins left="0.59055118110236227" right="0.19685039370078741" top="0.39370078740157483" bottom="0" header="0" footer="0"/>
  <pageSetup paperSize="9" orientation="landscape" verticalDpi="300" r:id="rId1"/>
  <headerFooter alignWithMargins="0">
    <oddHeader>&amp;C&amp;G</oddHeader>
    <oddFooter>&amp;Cหน้าที่ &amp;P/&amp;N</oddFooter>
  </headerFooter>
  <rowBreaks count="3" manualBreakCount="3">
    <brk id="33" max="16383" man="1"/>
    <brk id="54" max="16383" man="1"/>
    <brk id="81" max="16383" man="1"/>
  </rowBreaks>
  <drawing r:id="rId2"/>
  <legacy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29"/>
  </sheetPr>
  <dimension ref="A2:I363"/>
  <sheetViews>
    <sheetView tabSelected="1" workbookViewId="0">
      <selection activeCell="I105" sqref="I105"/>
    </sheetView>
  </sheetViews>
  <sheetFormatPr defaultRowHeight="14.25"/>
  <cols>
    <col min="1" max="1" width="5.42578125" style="76" customWidth="1"/>
    <col min="2" max="2" width="10.5703125" style="76" customWidth="1"/>
    <col min="3" max="3" width="31" style="76" customWidth="1"/>
    <col min="4" max="4" width="12.5703125" style="76" customWidth="1"/>
    <col min="5" max="5" width="15.140625" style="78" customWidth="1"/>
    <col min="6" max="6" width="14.28515625" style="78" customWidth="1"/>
    <col min="7" max="7" width="14.42578125" style="78" customWidth="1"/>
    <col min="8" max="8" width="13.5703125" style="76" customWidth="1"/>
    <col min="9" max="9" width="13.85546875" style="76" customWidth="1"/>
    <col min="10" max="16384" width="9.140625" style="76"/>
  </cols>
  <sheetData>
    <row r="2" spans="1:9" ht="18">
      <c r="A2" s="75" t="s">
        <v>626</v>
      </c>
      <c r="C2" s="77"/>
    </row>
    <row r="4" spans="1:9" ht="21" customHeight="1">
      <c r="A4" s="79">
        <v>1</v>
      </c>
      <c r="B4" s="80" t="s">
        <v>579</v>
      </c>
      <c r="C4" s="81"/>
      <c r="D4" s="82"/>
      <c r="E4" s="83"/>
      <c r="F4" s="83"/>
      <c r="G4" s="84"/>
      <c r="H4" s="85"/>
      <c r="I4" s="78"/>
    </row>
    <row r="5" spans="1:9" ht="21" customHeight="1">
      <c r="A5" s="86">
        <v>1.1000000000000001</v>
      </c>
      <c r="B5" s="87" t="s">
        <v>574</v>
      </c>
      <c r="C5" s="88"/>
      <c r="D5" s="89"/>
      <c r="E5" s="90"/>
      <c r="F5" s="90"/>
      <c r="G5" s="91"/>
      <c r="H5" s="92"/>
      <c r="I5" s="78"/>
    </row>
    <row r="6" spans="1:9" ht="19.5" customHeight="1">
      <c r="A6" s="93"/>
      <c r="B6" s="94" t="s">
        <v>580</v>
      </c>
      <c r="C6" s="95"/>
      <c r="D6" s="96"/>
      <c r="E6" s="97"/>
      <c r="F6" s="97"/>
      <c r="G6" s="98"/>
      <c r="H6" s="99"/>
      <c r="I6" s="78"/>
    </row>
    <row r="7" spans="1:9">
      <c r="A7" s="100"/>
      <c r="B7" s="101"/>
      <c r="C7" s="102"/>
      <c r="D7" s="103" t="s">
        <v>581</v>
      </c>
      <c r="E7" s="104" t="s">
        <v>299</v>
      </c>
      <c r="F7" s="105" t="s">
        <v>287</v>
      </c>
      <c r="G7" s="105" t="s">
        <v>584</v>
      </c>
      <c r="H7" s="105" t="s">
        <v>584</v>
      </c>
    </row>
    <row r="8" spans="1:9">
      <c r="A8" s="106"/>
      <c r="B8" s="107"/>
      <c r="C8" s="108"/>
      <c r="D8" s="109" t="s">
        <v>582</v>
      </c>
      <c r="E8" s="110" t="s">
        <v>583</v>
      </c>
      <c r="F8" s="111"/>
      <c r="G8" s="111" t="s">
        <v>583</v>
      </c>
      <c r="H8" s="111" t="s">
        <v>585</v>
      </c>
      <c r="I8" s="78"/>
    </row>
    <row r="9" spans="1:9" s="436" customFormat="1" ht="12.75">
      <c r="A9" s="9"/>
      <c r="B9" s="112" t="s">
        <v>592</v>
      </c>
      <c r="C9" s="113"/>
      <c r="D9" s="114"/>
      <c r="E9" s="114"/>
      <c r="F9" s="114"/>
      <c r="G9" s="115"/>
      <c r="H9" s="116"/>
    </row>
    <row r="10" spans="1:9" s="436" customFormat="1" ht="12.75">
      <c r="A10" s="9"/>
      <c r="B10" s="437" t="s">
        <v>469</v>
      </c>
      <c r="C10" s="14" t="s">
        <v>473</v>
      </c>
      <c r="D10" s="2"/>
      <c r="E10" s="2"/>
      <c r="F10" s="118">
        <f>IF(AND(D10&lt;&gt;"",D10&lt;&gt;0),IF(D10&lt;=3,3*D10,(3*3)+((3*0.75)*(D10-3))),3)</f>
        <v>3</v>
      </c>
      <c r="G10" s="119">
        <f>IF(AND(D10&lt;&gt;"",D10&lt;&gt;0),E10*F10,0)</f>
        <v>0</v>
      </c>
      <c r="H10" s="119">
        <f>G10/15</f>
        <v>0</v>
      </c>
    </row>
    <row r="11" spans="1:9" s="436" customFormat="1" ht="12.75">
      <c r="A11" s="9"/>
      <c r="B11" s="437" t="s">
        <v>470</v>
      </c>
      <c r="C11" s="14" t="s">
        <v>473</v>
      </c>
      <c r="D11" s="2"/>
      <c r="E11" s="2"/>
      <c r="F11" s="118">
        <f t="shared" ref="F11:F17" si="0">IF(AND(D11&lt;&gt;"",D11&lt;&gt;0),IF(D11&lt;=3,3*D11,(3*3)+((3*0.75)*(D11-3))),3)</f>
        <v>3</v>
      </c>
      <c r="G11" s="119">
        <f t="shared" ref="G11:G17" si="1">IF(AND(D11&lt;&gt;"",D11&lt;&gt;0),E11*F11,0)</f>
        <v>0</v>
      </c>
      <c r="H11" s="119">
        <f t="shared" ref="H11:H17" si="2">G11/15</f>
        <v>0</v>
      </c>
    </row>
    <row r="12" spans="1:9" s="436" customFormat="1" ht="12.75">
      <c r="A12" s="9"/>
      <c r="B12" s="437" t="s">
        <v>471</v>
      </c>
      <c r="C12" s="14" t="s">
        <v>473</v>
      </c>
      <c r="D12" s="2"/>
      <c r="E12" s="2"/>
      <c r="F12" s="118">
        <f t="shared" si="0"/>
        <v>3</v>
      </c>
      <c r="G12" s="119">
        <f t="shared" si="1"/>
        <v>0</v>
      </c>
      <c r="H12" s="119">
        <f t="shared" si="2"/>
        <v>0</v>
      </c>
    </row>
    <row r="13" spans="1:9" s="436" customFormat="1" ht="12.75">
      <c r="A13" s="9"/>
      <c r="B13" s="437" t="s">
        <v>472</v>
      </c>
      <c r="C13" s="14" t="s">
        <v>473</v>
      </c>
      <c r="D13" s="2"/>
      <c r="E13" s="2"/>
      <c r="F13" s="118">
        <f t="shared" si="0"/>
        <v>3</v>
      </c>
      <c r="G13" s="119">
        <f t="shared" si="1"/>
        <v>0</v>
      </c>
      <c r="H13" s="119">
        <f t="shared" si="2"/>
        <v>0</v>
      </c>
      <c r="I13" s="660"/>
    </row>
    <row r="14" spans="1:9" s="436" customFormat="1" ht="12.75">
      <c r="A14" s="9"/>
      <c r="B14" s="437" t="s">
        <v>493</v>
      </c>
      <c r="C14" s="14" t="s">
        <v>473</v>
      </c>
      <c r="D14" s="2"/>
      <c r="E14" s="2"/>
      <c r="F14" s="118">
        <f t="shared" si="0"/>
        <v>3</v>
      </c>
      <c r="G14" s="119">
        <f t="shared" si="1"/>
        <v>0</v>
      </c>
      <c r="H14" s="119">
        <f t="shared" si="2"/>
        <v>0</v>
      </c>
    </row>
    <row r="15" spans="1:9" s="436" customFormat="1" ht="12.75">
      <c r="A15" s="9"/>
      <c r="B15" s="437" t="s">
        <v>743</v>
      </c>
      <c r="C15" s="14" t="s">
        <v>473</v>
      </c>
      <c r="D15" s="2"/>
      <c r="E15" s="2"/>
      <c r="F15" s="118">
        <f t="shared" si="0"/>
        <v>3</v>
      </c>
      <c r="G15" s="119">
        <f t="shared" si="1"/>
        <v>0</v>
      </c>
      <c r="H15" s="119">
        <f t="shared" si="2"/>
        <v>0</v>
      </c>
    </row>
    <row r="16" spans="1:9" s="436" customFormat="1" ht="12.75">
      <c r="A16" s="9"/>
      <c r="B16" s="437" t="s">
        <v>744</v>
      </c>
      <c r="C16" s="14" t="s">
        <v>473</v>
      </c>
      <c r="D16" s="2"/>
      <c r="E16" s="2"/>
      <c r="F16" s="118">
        <f t="shared" si="0"/>
        <v>3</v>
      </c>
      <c r="G16" s="119">
        <f t="shared" si="1"/>
        <v>0</v>
      </c>
      <c r="H16" s="119">
        <f t="shared" si="2"/>
        <v>0</v>
      </c>
    </row>
    <row r="17" spans="1:9" s="436" customFormat="1" ht="12.75">
      <c r="A17" s="9"/>
      <c r="B17" s="437" t="s">
        <v>745</v>
      </c>
      <c r="C17" s="14" t="s">
        <v>473</v>
      </c>
      <c r="D17" s="2"/>
      <c r="E17" s="2"/>
      <c r="F17" s="118">
        <f t="shared" si="0"/>
        <v>3</v>
      </c>
      <c r="G17" s="119">
        <f t="shared" si="1"/>
        <v>0</v>
      </c>
      <c r="H17" s="119">
        <f t="shared" si="2"/>
        <v>0</v>
      </c>
    </row>
    <row r="18" spans="1:9" s="436" customFormat="1" ht="12.75">
      <c r="A18" s="120"/>
      <c r="B18" s="121"/>
      <c r="C18" s="122" t="s">
        <v>462</v>
      </c>
      <c r="D18" s="123"/>
      <c r="E18" s="124"/>
      <c r="F18" s="125"/>
      <c r="G18" s="126">
        <f>SUM(G10:G17)</f>
        <v>0</v>
      </c>
      <c r="H18" s="126">
        <f>SUM(H10:H17)</f>
        <v>0</v>
      </c>
    </row>
    <row r="19" spans="1:9">
      <c r="A19" s="100"/>
      <c r="B19" s="101"/>
      <c r="C19" s="102"/>
      <c r="D19" s="103" t="s">
        <v>581</v>
      </c>
      <c r="E19" s="104" t="s">
        <v>299</v>
      </c>
      <c r="F19" s="105" t="s">
        <v>287</v>
      </c>
      <c r="G19" s="105" t="s">
        <v>584</v>
      </c>
      <c r="H19" s="105" t="s">
        <v>584</v>
      </c>
    </row>
    <row r="20" spans="1:9">
      <c r="A20" s="106"/>
      <c r="B20" s="107"/>
      <c r="C20" s="108"/>
      <c r="D20" s="109" t="s">
        <v>582</v>
      </c>
      <c r="E20" s="110" t="s">
        <v>583</v>
      </c>
      <c r="F20" s="111"/>
      <c r="G20" s="111" t="s">
        <v>583</v>
      </c>
      <c r="H20" s="111" t="s">
        <v>585</v>
      </c>
      <c r="I20" s="78"/>
    </row>
    <row r="21" spans="1:9" s="436" customFormat="1" ht="12.75">
      <c r="A21" s="9"/>
      <c r="B21" s="127" t="s">
        <v>494</v>
      </c>
      <c r="C21" s="113"/>
      <c r="D21" s="114"/>
      <c r="E21" s="117"/>
      <c r="F21" s="114"/>
      <c r="G21" s="114"/>
      <c r="H21" s="128"/>
    </row>
    <row r="22" spans="1:9" s="436" customFormat="1" ht="12.75">
      <c r="A22" s="9"/>
      <c r="B22" s="437" t="s">
        <v>469</v>
      </c>
      <c r="C22" s="14" t="s">
        <v>473</v>
      </c>
      <c r="D22" s="2"/>
      <c r="E22" s="2"/>
      <c r="F22" s="118">
        <f>IF(AND(D22&lt;&gt;"",D22&lt;&gt;0),IF(D22&lt;=3,3.75*D22,(3.75*3)+((3.75*0.75)*(D22-3))),3.75)</f>
        <v>3.75</v>
      </c>
      <c r="G22" s="119">
        <f>IF(AND(D22&lt;&gt;"",D22&lt;&gt;0),E22*F22,0)</f>
        <v>0</v>
      </c>
      <c r="H22" s="119">
        <f>G22/15</f>
        <v>0</v>
      </c>
      <c r="I22" s="438"/>
    </row>
    <row r="23" spans="1:9" s="436" customFormat="1" ht="12.75">
      <c r="A23" s="9"/>
      <c r="B23" s="437" t="s">
        <v>470</v>
      </c>
      <c r="C23" s="14" t="s">
        <v>473</v>
      </c>
      <c r="D23" s="2"/>
      <c r="E23" s="2"/>
      <c r="F23" s="118">
        <f>IF(AND(D23&lt;&gt;"",D23&lt;&gt;0),IF(D23&lt;=3,3.75*D23,(3.75*3)+((3.75*0.75)*(D23-3))),3.75)</f>
        <v>3.75</v>
      </c>
      <c r="G23" s="119">
        <f>IF(AND(D23&lt;&gt;"",D23&lt;&gt;0),E23*F23,0)</f>
        <v>0</v>
      </c>
      <c r="H23" s="119">
        <f>G23/15</f>
        <v>0</v>
      </c>
      <c r="I23" s="438"/>
    </row>
    <row r="24" spans="1:9" s="436" customFormat="1" ht="12.75">
      <c r="A24" s="9"/>
      <c r="B24" s="437" t="s">
        <v>471</v>
      </c>
      <c r="C24" s="14" t="s">
        <v>473</v>
      </c>
      <c r="D24" s="2"/>
      <c r="E24" s="2"/>
      <c r="F24" s="119">
        <f>IF(AND(D24&lt;&gt;"",D24&lt;&gt;0),IF(D24&lt;=3,3.75*D24,(3.75*3)+((3.75*0.75)*(D24-3))),3.75)</f>
        <v>3.75</v>
      </c>
      <c r="G24" s="119">
        <f>IF(AND(D24&lt;&gt;"",D24&lt;&gt;0),E24*F24,0)</f>
        <v>0</v>
      </c>
      <c r="H24" s="119">
        <f>G24/15</f>
        <v>0</v>
      </c>
      <c r="I24" s="438"/>
    </row>
    <row r="25" spans="1:9" s="436" customFormat="1" ht="12.75">
      <c r="A25" s="120"/>
      <c r="B25" s="129"/>
      <c r="C25" s="130" t="s">
        <v>462</v>
      </c>
      <c r="D25" s="124"/>
      <c r="E25" s="124"/>
      <c r="F25" s="124"/>
      <c r="G25" s="126">
        <f>SUM(G22:G24)</f>
        <v>0</v>
      </c>
      <c r="H25" s="126">
        <f>SUM(H22:H24)</f>
        <v>0</v>
      </c>
      <c r="I25" s="438"/>
    </row>
    <row r="26" spans="1:9">
      <c r="A26" s="100"/>
      <c r="B26" s="101"/>
      <c r="C26" s="102"/>
      <c r="D26" s="103" t="s">
        <v>581</v>
      </c>
      <c r="E26" s="104" t="s">
        <v>299</v>
      </c>
      <c r="F26" s="105" t="s">
        <v>287</v>
      </c>
      <c r="G26" s="105" t="s">
        <v>584</v>
      </c>
      <c r="H26" s="105" t="s">
        <v>584</v>
      </c>
    </row>
    <row r="27" spans="1:9">
      <c r="A27" s="106"/>
      <c r="B27" s="107"/>
      <c r="C27" s="108"/>
      <c r="D27" s="109" t="s">
        <v>582</v>
      </c>
      <c r="E27" s="110" t="s">
        <v>583</v>
      </c>
      <c r="F27" s="111"/>
      <c r="G27" s="111" t="s">
        <v>583</v>
      </c>
      <c r="H27" s="111" t="s">
        <v>585</v>
      </c>
      <c r="I27" s="78"/>
    </row>
    <row r="28" spans="1:9" s="436" customFormat="1" ht="12.75">
      <c r="A28" s="9"/>
      <c r="B28" s="127" t="s">
        <v>495</v>
      </c>
      <c r="C28" s="113"/>
      <c r="D28" s="114"/>
      <c r="E28" s="117"/>
      <c r="F28" s="114"/>
      <c r="G28" s="119"/>
      <c r="H28" s="128"/>
      <c r="I28" s="438"/>
    </row>
    <row r="29" spans="1:9" s="436" customFormat="1" ht="12.75">
      <c r="A29" s="9"/>
      <c r="B29" s="437" t="s">
        <v>469</v>
      </c>
      <c r="C29" s="14" t="s">
        <v>473</v>
      </c>
      <c r="D29" s="2"/>
      <c r="E29" s="2"/>
      <c r="F29" s="118">
        <f>IF(AND(D29&lt;&gt;"",D29&lt;&gt;0),IF(D29&lt;=3,4.5*D29,(4.5*3)+((4.5*0.75)*(D29-3))),4.5)</f>
        <v>4.5</v>
      </c>
      <c r="G29" s="119">
        <f>IF(AND(D29&lt;&gt;"",D29&lt;&gt;0),E29*F29,0)</f>
        <v>0</v>
      </c>
      <c r="H29" s="119">
        <f>G29/15</f>
        <v>0</v>
      </c>
      <c r="I29" s="438"/>
    </row>
    <row r="30" spans="1:9" s="436" customFormat="1" ht="12.75">
      <c r="A30" s="9"/>
      <c r="B30" s="437" t="s">
        <v>470</v>
      </c>
      <c r="C30" s="14" t="s">
        <v>473</v>
      </c>
      <c r="D30" s="2"/>
      <c r="E30" s="2"/>
      <c r="F30" s="118">
        <f>IF(AND(D30&lt;&gt;"",D30&lt;&gt;0),IF(D30&lt;=3,4.5*D30,(4.5*3)+((4.5*0.75)*(D30-3))),4.5)</f>
        <v>4.5</v>
      </c>
      <c r="G30" s="119">
        <f>IF(AND(D30&lt;&gt;"",D30&lt;&gt;0),E30*F30,0)</f>
        <v>0</v>
      </c>
      <c r="H30" s="119">
        <f>G30/15</f>
        <v>0</v>
      </c>
      <c r="I30" s="438"/>
    </row>
    <row r="31" spans="1:9" s="436" customFormat="1" ht="12.75">
      <c r="A31" s="9"/>
      <c r="B31" s="437" t="s">
        <v>471</v>
      </c>
      <c r="C31" s="14" t="s">
        <v>473</v>
      </c>
      <c r="D31" s="2"/>
      <c r="E31" s="2"/>
      <c r="F31" s="119">
        <f>IF(AND(D31&lt;&gt;"",D31&lt;&gt;0),IF(D31&lt;=3,4.5*D31,(4.5*3)+((4.5*0.75)*(D31-3))),4.5)</f>
        <v>4.5</v>
      </c>
      <c r="G31" s="119">
        <f>IF(AND(D31&lt;&gt;"",D31&lt;&gt;0),E31*F31,0)</f>
        <v>0</v>
      </c>
      <c r="H31" s="119">
        <f>G31/15</f>
        <v>0</v>
      </c>
      <c r="I31" s="438"/>
    </row>
    <row r="32" spans="1:9" s="436" customFormat="1" ht="12.75">
      <c r="A32" s="120"/>
      <c r="B32" s="129"/>
      <c r="C32" s="130" t="s">
        <v>462</v>
      </c>
      <c r="D32" s="124"/>
      <c r="E32" s="124"/>
      <c r="F32" s="124"/>
      <c r="G32" s="126">
        <f>SUM(G29:G31)</f>
        <v>0</v>
      </c>
      <c r="H32" s="126">
        <f>SUM(H29:H31)</f>
        <v>0</v>
      </c>
      <c r="I32" s="438"/>
    </row>
    <row r="33" spans="1:9">
      <c r="A33" s="100"/>
      <c r="B33" s="101"/>
      <c r="C33" s="102"/>
      <c r="D33" s="103" t="s">
        <v>581</v>
      </c>
      <c r="E33" s="104" t="s">
        <v>299</v>
      </c>
      <c r="F33" s="105" t="s">
        <v>287</v>
      </c>
      <c r="G33" s="105" t="s">
        <v>584</v>
      </c>
      <c r="H33" s="105" t="s">
        <v>584</v>
      </c>
    </row>
    <row r="34" spans="1:9">
      <c r="A34" s="106"/>
      <c r="B34" s="107"/>
      <c r="C34" s="108"/>
      <c r="D34" s="109" t="s">
        <v>582</v>
      </c>
      <c r="E34" s="110" t="s">
        <v>583</v>
      </c>
      <c r="F34" s="111"/>
      <c r="G34" s="111" t="s">
        <v>583</v>
      </c>
      <c r="H34" s="111" t="s">
        <v>585</v>
      </c>
      <c r="I34" s="78"/>
    </row>
    <row r="35" spans="1:9" s="436" customFormat="1" ht="12.75">
      <c r="A35" s="9"/>
      <c r="B35" s="127" t="s">
        <v>481</v>
      </c>
      <c r="C35" s="113"/>
      <c r="D35" s="114"/>
      <c r="E35" s="114"/>
      <c r="F35" s="114"/>
      <c r="G35" s="119"/>
      <c r="H35" s="128"/>
      <c r="I35" s="438"/>
    </row>
    <row r="36" spans="1:9" s="436" customFormat="1" ht="12.75">
      <c r="A36" s="9"/>
      <c r="B36" s="437" t="s">
        <v>469</v>
      </c>
      <c r="C36" s="14" t="s">
        <v>473</v>
      </c>
      <c r="D36" s="2"/>
      <c r="E36" s="2"/>
      <c r="F36" s="118">
        <f>IF(AND(D36&lt;&gt;"",D36&lt;&gt;0),IF(D36&lt;=3,5.25*D36,(5.25*3)+((5.25*0.75)*(D36-3))),5.25)</f>
        <v>5.25</v>
      </c>
      <c r="G36" s="119">
        <f>IF(AND(D36&lt;&gt;"",D36&lt;&gt;0),E36*F36,0)</f>
        <v>0</v>
      </c>
      <c r="H36" s="119">
        <f>G36/15</f>
        <v>0</v>
      </c>
      <c r="I36" s="438"/>
    </row>
    <row r="37" spans="1:9" s="436" customFormat="1" ht="12.75">
      <c r="A37" s="9"/>
      <c r="B37" s="437" t="s">
        <v>470</v>
      </c>
      <c r="C37" s="14" t="s">
        <v>473</v>
      </c>
      <c r="D37" s="2"/>
      <c r="E37" s="2"/>
      <c r="F37" s="118">
        <f>IF(AND(D37&lt;&gt;"",D37&lt;&gt;0),IF(D37&lt;=3,5.25*D37,(5.25*3)+((5.25*0.75)*(D37-3))),5.25)</f>
        <v>5.25</v>
      </c>
      <c r="G37" s="119">
        <f>IF(AND(D37&lt;&gt;"",D37&lt;&gt;0),E37*F37,0)</f>
        <v>0</v>
      </c>
      <c r="H37" s="119">
        <f>G37/15</f>
        <v>0</v>
      </c>
      <c r="I37" s="438"/>
    </row>
    <row r="38" spans="1:9" s="436" customFormat="1" ht="12.75">
      <c r="A38" s="9"/>
      <c r="B38" s="437" t="s">
        <v>471</v>
      </c>
      <c r="C38" s="14" t="s">
        <v>473</v>
      </c>
      <c r="D38" s="2"/>
      <c r="E38" s="2"/>
      <c r="F38" s="119">
        <f>IF(AND(D38&lt;&gt;"",D38&lt;&gt;0),IF(D38&lt;=3,5.25*D38,(5.25*3)+((5.25*0.75)*(D38-3))),5.25)</f>
        <v>5.25</v>
      </c>
      <c r="G38" s="119">
        <f>IF(AND(D38&lt;&gt;"",D38&lt;&gt;0),E38*F38,0)</f>
        <v>0</v>
      </c>
      <c r="H38" s="119">
        <f>G38/15</f>
        <v>0</v>
      </c>
      <c r="I38" s="438"/>
    </row>
    <row r="39" spans="1:9" s="436" customFormat="1" ht="12.75">
      <c r="A39" s="120"/>
      <c r="B39" s="129"/>
      <c r="C39" s="130" t="s">
        <v>462</v>
      </c>
      <c r="D39" s="124"/>
      <c r="E39" s="124"/>
      <c r="F39" s="124"/>
      <c r="G39" s="126">
        <f>SUM(G36:G38)</f>
        <v>0</v>
      </c>
      <c r="H39" s="126">
        <f>SUM(H36:H38)</f>
        <v>0</v>
      </c>
      <c r="I39" s="438"/>
    </row>
    <row r="40" spans="1:9">
      <c r="A40" s="100"/>
      <c r="B40" s="101"/>
      <c r="C40" s="102"/>
      <c r="D40" s="103" t="s">
        <v>581</v>
      </c>
      <c r="E40" s="104" t="s">
        <v>299</v>
      </c>
      <c r="F40" s="105" t="s">
        <v>287</v>
      </c>
      <c r="G40" s="105" t="s">
        <v>584</v>
      </c>
      <c r="H40" s="105" t="s">
        <v>584</v>
      </c>
    </row>
    <row r="41" spans="1:9">
      <c r="A41" s="106"/>
      <c r="B41" s="107"/>
      <c r="C41" s="108"/>
      <c r="D41" s="109" t="s">
        <v>582</v>
      </c>
      <c r="E41" s="110" t="s">
        <v>583</v>
      </c>
      <c r="F41" s="111"/>
      <c r="G41" s="111" t="s">
        <v>583</v>
      </c>
      <c r="H41" s="111" t="s">
        <v>585</v>
      </c>
      <c r="I41" s="78"/>
    </row>
    <row r="42" spans="1:9" s="436" customFormat="1" ht="12.75">
      <c r="A42" s="9"/>
      <c r="B42" s="127" t="s">
        <v>496</v>
      </c>
      <c r="C42" s="113"/>
      <c r="D42" s="114"/>
      <c r="E42" s="114"/>
      <c r="F42" s="114"/>
      <c r="G42" s="119"/>
      <c r="H42" s="128"/>
      <c r="I42" s="438"/>
    </row>
    <row r="43" spans="1:9" s="436" customFormat="1" ht="12.75">
      <c r="A43" s="9"/>
      <c r="B43" s="437" t="s">
        <v>469</v>
      </c>
      <c r="C43" s="14" t="s">
        <v>473</v>
      </c>
      <c r="D43" s="2"/>
      <c r="E43" s="2"/>
      <c r="F43" s="118">
        <f>IF(AND(D43&lt;&gt;"",D43&lt;&gt;0),IF(D43&lt;=3,6*D43,(6*3)+((6*0.75)*(D43-3))),6)</f>
        <v>6</v>
      </c>
      <c r="G43" s="119">
        <f>IF(AND(D43&lt;&gt;"",D43&lt;&gt;0),E43*F43,0)</f>
        <v>0</v>
      </c>
      <c r="H43" s="119">
        <f>G43/15</f>
        <v>0</v>
      </c>
      <c r="I43" s="438"/>
    </row>
    <row r="44" spans="1:9" s="436" customFormat="1" ht="12.75">
      <c r="A44" s="9"/>
      <c r="B44" s="437" t="s">
        <v>470</v>
      </c>
      <c r="C44" s="14" t="s">
        <v>473</v>
      </c>
      <c r="D44" s="2"/>
      <c r="E44" s="2"/>
      <c r="F44" s="118">
        <f>IF(AND(D44&lt;&gt;"",D44&lt;&gt;0),IF(D44&lt;=3,6*D44,(6*3)+((6*0.75)*(D44-3))),6)</f>
        <v>6</v>
      </c>
      <c r="G44" s="119">
        <f>IF(AND(D44&lt;&gt;"",D44&lt;&gt;0),E44*F44,0)</f>
        <v>0</v>
      </c>
      <c r="H44" s="119">
        <f>G44/15</f>
        <v>0</v>
      </c>
      <c r="I44" s="438"/>
    </row>
    <row r="45" spans="1:9" s="436" customFormat="1" ht="12.75">
      <c r="A45" s="9"/>
      <c r="B45" s="437" t="s">
        <v>471</v>
      </c>
      <c r="C45" s="14" t="s">
        <v>473</v>
      </c>
      <c r="D45" s="2"/>
      <c r="E45" s="2"/>
      <c r="F45" s="118">
        <f>IF(AND(D45&lt;&gt;"",D45&lt;&gt;0),IF(D45&lt;=3,6*D45,(6*3)+((6*0.75)*(D45-3))),6)</f>
        <v>6</v>
      </c>
      <c r="G45" s="119">
        <f>IF(AND(D45&lt;&gt;"",D45&lt;&gt;0),E45*F45,0)</f>
        <v>0</v>
      </c>
      <c r="H45" s="119">
        <f>G45/15</f>
        <v>0</v>
      </c>
      <c r="I45" s="438"/>
    </row>
    <row r="46" spans="1:9" s="436" customFormat="1" ht="12.75">
      <c r="A46" s="9"/>
      <c r="B46" s="437" t="s">
        <v>472</v>
      </c>
      <c r="C46" s="14" t="s">
        <v>473</v>
      </c>
      <c r="D46" s="2"/>
      <c r="E46" s="2"/>
      <c r="F46" s="118">
        <f>IF(AND(D46&lt;&gt;"",D46&lt;&gt;0),IF(D46&lt;=3,6*D46,(6*3)+((6*0.75)*(D46-3))),6)</f>
        <v>6</v>
      </c>
      <c r="G46" s="119">
        <f>IF(AND(D46&lt;&gt;"",D46&lt;&gt;0),E46*F46,0)</f>
        <v>0</v>
      </c>
      <c r="H46" s="119">
        <f>G46/15</f>
        <v>0</v>
      </c>
      <c r="I46" s="438"/>
    </row>
    <row r="47" spans="1:9" s="436" customFormat="1" ht="12.75">
      <c r="A47" s="9"/>
      <c r="B47" s="437" t="s">
        <v>493</v>
      </c>
      <c r="C47" s="14" t="s">
        <v>473</v>
      </c>
      <c r="D47" s="2"/>
      <c r="E47" s="2"/>
      <c r="F47" s="118">
        <f>IF(AND(D47&lt;&gt;"",D47&lt;&gt;0),IF(D47&lt;=3,6*D47,(6*3)+((6*0.75)*(D47-3))),6)</f>
        <v>6</v>
      </c>
      <c r="G47" s="119">
        <f>IF(AND(D47&lt;&gt;"",D47&lt;&gt;0),E47*F47,0)</f>
        <v>0</v>
      </c>
      <c r="H47" s="119">
        <f>G47/15</f>
        <v>0</v>
      </c>
      <c r="I47" s="438"/>
    </row>
    <row r="48" spans="1:9" s="436" customFormat="1" ht="12.75">
      <c r="A48" s="120"/>
      <c r="B48" s="129"/>
      <c r="C48" s="130" t="s">
        <v>462</v>
      </c>
      <c r="D48" s="124"/>
      <c r="E48" s="124"/>
      <c r="F48" s="124"/>
      <c r="G48" s="126">
        <f>SUM(G43:G47)</f>
        <v>0</v>
      </c>
      <c r="H48" s="126">
        <f>SUM(H43:H47)</f>
        <v>0</v>
      </c>
      <c r="I48" s="438"/>
    </row>
    <row r="49" spans="1:9">
      <c r="A49" s="100"/>
      <c r="B49" s="101"/>
      <c r="C49" s="102"/>
      <c r="D49" s="103" t="s">
        <v>581</v>
      </c>
      <c r="E49" s="104" t="s">
        <v>299</v>
      </c>
      <c r="F49" s="105" t="s">
        <v>287</v>
      </c>
      <c r="G49" s="105" t="s">
        <v>584</v>
      </c>
      <c r="H49" s="105" t="s">
        <v>584</v>
      </c>
      <c r="I49" s="439"/>
    </row>
    <row r="50" spans="1:9">
      <c r="A50" s="106"/>
      <c r="B50" s="107"/>
      <c r="C50" s="108"/>
      <c r="D50" s="109" t="s">
        <v>582</v>
      </c>
      <c r="E50" s="110" t="s">
        <v>583</v>
      </c>
      <c r="F50" s="111"/>
      <c r="G50" s="111" t="s">
        <v>583</v>
      </c>
      <c r="H50" s="111" t="s">
        <v>585</v>
      </c>
      <c r="I50" s="440"/>
    </row>
    <row r="51" spans="1:9" s="436" customFormat="1" ht="12.75">
      <c r="A51" s="9"/>
      <c r="B51" s="127" t="s">
        <v>497</v>
      </c>
      <c r="C51" s="113"/>
      <c r="D51" s="114"/>
      <c r="E51" s="114"/>
      <c r="F51" s="114"/>
      <c r="G51" s="119"/>
      <c r="H51" s="128"/>
      <c r="I51" s="438"/>
    </row>
    <row r="52" spans="1:9" s="436" customFormat="1" ht="12.75">
      <c r="A52" s="9"/>
      <c r="B52" s="437" t="s">
        <v>469</v>
      </c>
      <c r="C52" s="14" t="s">
        <v>473</v>
      </c>
      <c r="D52" s="2"/>
      <c r="E52" s="2"/>
      <c r="F52" s="118">
        <f>IF(AND(D52&lt;&gt;"",D52&lt;&gt;0),IF(D52&lt;=3,6.75*D52,(6.75*3)+((6.75*0.75)*(D52-3))),6.75)</f>
        <v>6.75</v>
      </c>
      <c r="G52" s="119">
        <f>IF(AND(D52&lt;&gt;"",D52&lt;&gt;0),E52*F52,0)</f>
        <v>0</v>
      </c>
      <c r="H52" s="119">
        <f>G52/15</f>
        <v>0</v>
      </c>
      <c r="I52" s="438"/>
    </row>
    <row r="53" spans="1:9" s="436" customFormat="1" ht="12.75">
      <c r="A53" s="9"/>
      <c r="B53" s="437" t="s">
        <v>470</v>
      </c>
      <c r="C53" s="14" t="s">
        <v>473</v>
      </c>
      <c r="D53" s="2"/>
      <c r="E53" s="2"/>
      <c r="F53" s="118">
        <f>IF(AND(D53&lt;&gt;"",D53&lt;&gt;0),IF(D53&lt;=3,6.75*D53,(6.75*3)+((6.75*0.75)*(D53-3))),6.75)</f>
        <v>6.75</v>
      </c>
      <c r="G53" s="119">
        <f>IF(AND(D53&lt;&gt;"",D53&lt;&gt;0),E53*F53,0)</f>
        <v>0</v>
      </c>
      <c r="H53" s="119">
        <f>G53/15</f>
        <v>0</v>
      </c>
      <c r="I53" s="438"/>
    </row>
    <row r="54" spans="1:9" s="436" customFormat="1" ht="12.75">
      <c r="A54" s="9"/>
      <c r="B54" s="437" t="s">
        <v>471</v>
      </c>
      <c r="C54" s="14" t="s">
        <v>473</v>
      </c>
      <c r="D54" s="2"/>
      <c r="E54" s="2"/>
      <c r="F54" s="119">
        <f>IF(AND(D54&lt;&gt;"",D54&lt;&gt;0),IF(D54&lt;=3,6.75*D54,(6.75*3)+((6.75*0.75)*(D54-3))),6.75)</f>
        <v>6.75</v>
      </c>
      <c r="G54" s="119">
        <f>IF(AND(D54&lt;&gt;"",D54&lt;&gt;0),E54*F54,0)</f>
        <v>0</v>
      </c>
      <c r="H54" s="119">
        <f>G54/15</f>
        <v>0</v>
      </c>
      <c r="I54" s="438"/>
    </row>
    <row r="55" spans="1:9" s="436" customFormat="1" ht="12.75">
      <c r="A55" s="120"/>
      <c r="B55" s="129"/>
      <c r="C55" s="130" t="s">
        <v>462</v>
      </c>
      <c r="D55" s="124"/>
      <c r="E55" s="124"/>
      <c r="F55" s="124"/>
      <c r="G55" s="126">
        <f>SUM(G52:G54)</f>
        <v>0</v>
      </c>
      <c r="H55" s="126">
        <f>SUM(H52:H54)</f>
        <v>0</v>
      </c>
      <c r="I55" s="438"/>
    </row>
    <row r="56" spans="1:9">
      <c r="A56" s="100"/>
      <c r="B56" s="101"/>
      <c r="C56" s="102"/>
      <c r="D56" s="103" t="s">
        <v>581</v>
      </c>
      <c r="E56" s="104" t="s">
        <v>299</v>
      </c>
      <c r="F56" s="105" t="s">
        <v>287</v>
      </c>
      <c r="G56" s="105" t="s">
        <v>584</v>
      </c>
      <c r="H56" s="105" t="s">
        <v>584</v>
      </c>
      <c r="I56" s="439"/>
    </row>
    <row r="57" spans="1:9">
      <c r="A57" s="106"/>
      <c r="B57" s="107"/>
      <c r="C57" s="108"/>
      <c r="D57" s="109" t="s">
        <v>582</v>
      </c>
      <c r="E57" s="110" t="s">
        <v>583</v>
      </c>
      <c r="F57" s="111"/>
      <c r="G57" s="111" t="s">
        <v>583</v>
      </c>
      <c r="H57" s="111" t="s">
        <v>585</v>
      </c>
      <c r="I57" s="440"/>
    </row>
    <row r="58" spans="1:9" s="436" customFormat="1" ht="12.75">
      <c r="A58" s="9"/>
      <c r="B58" s="127" t="s">
        <v>498</v>
      </c>
      <c r="C58" s="113"/>
      <c r="D58" s="114"/>
      <c r="E58" s="114"/>
      <c r="F58" s="114"/>
      <c r="G58" s="119"/>
      <c r="H58" s="128"/>
      <c r="I58" s="438"/>
    </row>
    <row r="59" spans="1:9" s="436" customFormat="1" ht="12.75">
      <c r="A59" s="9"/>
      <c r="B59" s="437" t="s">
        <v>469</v>
      </c>
      <c r="C59" s="14" t="s">
        <v>473</v>
      </c>
      <c r="D59" s="2"/>
      <c r="E59" s="2"/>
      <c r="F59" s="118">
        <f>IF(AND(D59&lt;&gt;"",D59&lt;&gt;0),IF(D59&lt;=3,7.5*D59,(7.5*3)+((7.5*0.75)*(D59-3))),7.5)</f>
        <v>7.5</v>
      </c>
      <c r="G59" s="119">
        <f>IF(AND(D59&lt;&gt;"",D59&lt;&gt;0),E59*F59,0)</f>
        <v>0</v>
      </c>
      <c r="H59" s="119">
        <f>G59/15</f>
        <v>0</v>
      </c>
      <c r="I59" s="438"/>
    </row>
    <row r="60" spans="1:9" s="436" customFormat="1" ht="12.75">
      <c r="A60" s="9"/>
      <c r="B60" s="437" t="s">
        <v>470</v>
      </c>
      <c r="C60" s="14" t="s">
        <v>473</v>
      </c>
      <c r="D60" s="2"/>
      <c r="E60" s="2"/>
      <c r="F60" s="118">
        <f>IF(AND(D60&lt;&gt;"",D60&lt;&gt;0),IF(D60&lt;=3,7.5*D60,(7.5*3)+((7.5*0.75)*(D60-3))),7.5)</f>
        <v>7.5</v>
      </c>
      <c r="G60" s="119">
        <f>IF(AND(D60&lt;&gt;"",D60&lt;&gt;0),E60*F60,0)</f>
        <v>0</v>
      </c>
      <c r="H60" s="119">
        <f>G60/15</f>
        <v>0</v>
      </c>
      <c r="I60" s="438"/>
    </row>
    <row r="61" spans="1:9" s="436" customFormat="1" ht="12.75">
      <c r="A61" s="9"/>
      <c r="B61" s="437" t="s">
        <v>471</v>
      </c>
      <c r="C61" s="14" t="s">
        <v>473</v>
      </c>
      <c r="D61" s="2"/>
      <c r="E61" s="2"/>
      <c r="F61" s="119">
        <f>IF(AND(D61&lt;&gt;"",D61&lt;&gt;0),IF(D61&lt;=3,7.5*D61,(7.5*3)+((7.5*0.75)*(D61-3))),7.5)</f>
        <v>7.5</v>
      </c>
      <c r="G61" s="119">
        <f>IF(AND(D61&lt;&gt;"",D61&lt;&gt;0),E61*F61,0)</f>
        <v>0</v>
      </c>
      <c r="H61" s="119">
        <f>G61/15</f>
        <v>0</v>
      </c>
      <c r="I61" s="438"/>
    </row>
    <row r="62" spans="1:9" s="436" customFormat="1" ht="12.75">
      <c r="A62" s="120"/>
      <c r="B62" s="129"/>
      <c r="C62" s="130" t="s">
        <v>462</v>
      </c>
      <c r="D62" s="124"/>
      <c r="E62" s="124"/>
      <c r="F62" s="124"/>
      <c r="G62" s="126">
        <f>SUM(G59:G61)</f>
        <v>0</v>
      </c>
      <c r="H62" s="126">
        <f>SUM(H59:H61)</f>
        <v>0</v>
      </c>
      <c r="I62" s="438"/>
    </row>
    <row r="63" spans="1:9">
      <c r="A63" s="100"/>
      <c r="B63" s="101"/>
      <c r="C63" s="102"/>
      <c r="D63" s="103" t="s">
        <v>581</v>
      </c>
      <c r="E63" s="104" t="s">
        <v>299</v>
      </c>
      <c r="F63" s="105" t="s">
        <v>287</v>
      </c>
      <c r="G63" s="105" t="s">
        <v>584</v>
      </c>
      <c r="H63" s="105" t="s">
        <v>584</v>
      </c>
      <c r="I63" s="439"/>
    </row>
    <row r="64" spans="1:9">
      <c r="A64" s="106"/>
      <c r="B64" s="107"/>
      <c r="C64" s="108"/>
      <c r="D64" s="109" t="s">
        <v>582</v>
      </c>
      <c r="E64" s="110" t="s">
        <v>583</v>
      </c>
      <c r="F64" s="111"/>
      <c r="G64" s="111" t="s">
        <v>583</v>
      </c>
      <c r="H64" s="111" t="s">
        <v>585</v>
      </c>
      <c r="I64" s="440"/>
    </row>
    <row r="65" spans="1:9" s="436" customFormat="1" ht="12.75">
      <c r="A65" s="9"/>
      <c r="B65" s="127" t="s">
        <v>499</v>
      </c>
      <c r="C65" s="113"/>
      <c r="D65" s="114"/>
      <c r="E65" s="114"/>
      <c r="F65" s="114"/>
      <c r="G65" s="119"/>
      <c r="H65" s="128"/>
      <c r="I65" s="438"/>
    </row>
    <row r="66" spans="1:9" s="436" customFormat="1" ht="12.75">
      <c r="A66" s="9"/>
      <c r="B66" s="437" t="s">
        <v>469</v>
      </c>
      <c r="C66" s="14" t="s">
        <v>473</v>
      </c>
      <c r="D66" s="2"/>
      <c r="E66" s="2"/>
      <c r="F66" s="118">
        <f>IF(AND(D66&lt;&gt;"",D66&lt;&gt;0),IF(D66&lt;=3,8.25*D66,(8.25*3)+((8.25*0.75)*(D66-3))),8.25)</f>
        <v>8.25</v>
      </c>
      <c r="G66" s="119">
        <f>IF(AND(D66&lt;&gt;"",D66&lt;&gt;0),E66*F66,0)</f>
        <v>0</v>
      </c>
      <c r="H66" s="119">
        <f>G66/15</f>
        <v>0</v>
      </c>
      <c r="I66" s="438"/>
    </row>
    <row r="67" spans="1:9" s="436" customFormat="1" ht="12.75">
      <c r="A67" s="9"/>
      <c r="B67" s="437" t="s">
        <v>470</v>
      </c>
      <c r="C67" s="14" t="s">
        <v>473</v>
      </c>
      <c r="D67" s="2"/>
      <c r="E67" s="2"/>
      <c r="F67" s="118">
        <f>IF(AND(D67&lt;&gt;"",D67&lt;&gt;0),IF(D67&lt;=3,8.25*D67,(8.25*3)+((8.25*0.75)*(D67-3))),8.25)</f>
        <v>8.25</v>
      </c>
      <c r="G67" s="119">
        <f>IF(AND(D67&lt;&gt;"",D67&lt;&gt;0),E67*F67,0)</f>
        <v>0</v>
      </c>
      <c r="H67" s="119">
        <f>G67/15</f>
        <v>0</v>
      </c>
      <c r="I67" s="438"/>
    </row>
    <row r="68" spans="1:9" s="436" customFormat="1" ht="12.75">
      <c r="A68" s="9"/>
      <c r="B68" s="437" t="s">
        <v>471</v>
      </c>
      <c r="C68" s="14" t="s">
        <v>473</v>
      </c>
      <c r="D68" s="2"/>
      <c r="E68" s="2"/>
      <c r="F68" s="119">
        <f>IF(AND(D68&lt;&gt;"",D68&lt;&gt;0),IF(D68&lt;=3,8.25*D68,(8.25*3)+((8.25*0.75)*(D68-3))),8.25)</f>
        <v>8.25</v>
      </c>
      <c r="G68" s="119">
        <f>IF(AND(D68&lt;&gt;"",D68&lt;&gt;0),E68*F68,0)</f>
        <v>0</v>
      </c>
      <c r="H68" s="119">
        <f>G68/15</f>
        <v>0</v>
      </c>
      <c r="I68" s="438"/>
    </row>
    <row r="69" spans="1:9" s="436" customFormat="1" ht="12.75">
      <c r="A69" s="120"/>
      <c r="B69" s="129"/>
      <c r="C69" s="130" t="s">
        <v>462</v>
      </c>
      <c r="D69" s="124"/>
      <c r="E69" s="124"/>
      <c r="F69" s="124"/>
      <c r="G69" s="126">
        <f>SUM(G66:G68)</f>
        <v>0</v>
      </c>
      <c r="H69" s="126">
        <f>SUM(H66:H68)</f>
        <v>0</v>
      </c>
      <c r="I69" s="438"/>
    </row>
    <row r="70" spans="1:9">
      <c r="A70" s="100"/>
      <c r="B70" s="101"/>
      <c r="C70" s="102"/>
      <c r="D70" s="103" t="s">
        <v>581</v>
      </c>
      <c r="E70" s="104" t="s">
        <v>299</v>
      </c>
      <c r="F70" s="105" t="s">
        <v>287</v>
      </c>
      <c r="G70" s="105" t="s">
        <v>584</v>
      </c>
      <c r="H70" s="105" t="s">
        <v>584</v>
      </c>
      <c r="I70" s="439"/>
    </row>
    <row r="71" spans="1:9">
      <c r="A71" s="106"/>
      <c r="B71" s="107"/>
      <c r="C71" s="108"/>
      <c r="D71" s="109" t="s">
        <v>582</v>
      </c>
      <c r="E71" s="110" t="s">
        <v>583</v>
      </c>
      <c r="F71" s="111"/>
      <c r="G71" s="111" t="s">
        <v>583</v>
      </c>
      <c r="H71" s="111" t="s">
        <v>585</v>
      </c>
      <c r="I71" s="440"/>
    </row>
    <row r="72" spans="1:9" s="436" customFormat="1" ht="12.75">
      <c r="A72" s="9"/>
      <c r="B72" s="127" t="s">
        <v>500</v>
      </c>
      <c r="C72" s="113"/>
      <c r="D72" s="114"/>
      <c r="E72" s="114"/>
      <c r="F72" s="114"/>
      <c r="G72" s="119"/>
      <c r="H72" s="128"/>
      <c r="I72" s="438"/>
    </row>
    <row r="73" spans="1:9" s="436" customFormat="1" ht="12.75">
      <c r="A73" s="9"/>
      <c r="B73" s="437" t="s">
        <v>469</v>
      </c>
      <c r="C73" s="14" t="s">
        <v>473</v>
      </c>
      <c r="D73" s="2"/>
      <c r="E73" s="2"/>
      <c r="F73" s="118">
        <f>IF(AND(D73&lt;&gt;"",D73&lt;&gt;0),IF(D73&lt;=3,9*D73,(9*3)+((9*0.75)*(D73-3))),9)</f>
        <v>9</v>
      </c>
      <c r="G73" s="119">
        <f>IF(AND(D73&lt;&gt;"",D73&lt;&gt;0),E73*F73,0)</f>
        <v>0</v>
      </c>
      <c r="H73" s="119">
        <f>G73/15</f>
        <v>0</v>
      </c>
      <c r="I73" s="438"/>
    </row>
    <row r="74" spans="1:9" s="436" customFormat="1" ht="12.75">
      <c r="A74" s="9"/>
      <c r="B74" s="437" t="s">
        <v>470</v>
      </c>
      <c r="C74" s="14" t="s">
        <v>473</v>
      </c>
      <c r="D74" s="2"/>
      <c r="E74" s="2"/>
      <c r="F74" s="118">
        <f>IF(AND(D74&lt;&gt;"",D74&lt;&gt;0),IF(D74&lt;=3,9*D74,(9*3)+((9*0.75)*(D74-3))),9)</f>
        <v>9</v>
      </c>
      <c r="G74" s="119">
        <f>IF(AND(D74&lt;&gt;"",D74&lt;&gt;0),E74*F74,0)</f>
        <v>0</v>
      </c>
      <c r="H74" s="119">
        <f>G74/15</f>
        <v>0</v>
      </c>
      <c r="I74" s="438"/>
    </row>
    <row r="75" spans="1:9" s="436" customFormat="1" ht="12.75">
      <c r="A75" s="9"/>
      <c r="B75" s="437" t="s">
        <v>471</v>
      </c>
      <c r="C75" s="14" t="s">
        <v>473</v>
      </c>
      <c r="D75" s="2"/>
      <c r="E75" s="2"/>
      <c r="F75" s="118">
        <f>IF(AND(D75&lt;&gt;"",D75&lt;&gt;0),IF(D75&lt;=3,9*D75,(9*3)+((9*0.75)*(D75-3))),9)</f>
        <v>9</v>
      </c>
      <c r="G75" s="119">
        <f>IF(AND(D75&lt;&gt;"",D75&lt;&gt;0),E75*F75,0)</f>
        <v>0</v>
      </c>
      <c r="H75" s="119">
        <f>G75/15</f>
        <v>0</v>
      </c>
      <c r="I75" s="438"/>
    </row>
    <row r="76" spans="1:9" s="436" customFormat="1" ht="12.75">
      <c r="A76" s="120"/>
      <c r="B76" s="129"/>
      <c r="C76" s="130" t="s">
        <v>462</v>
      </c>
      <c r="D76" s="124"/>
      <c r="E76" s="124"/>
      <c r="F76" s="124"/>
      <c r="G76" s="126">
        <f>SUM(G73:G75)</f>
        <v>0</v>
      </c>
      <c r="H76" s="126">
        <f>SUM(H73:H75)</f>
        <v>0</v>
      </c>
      <c r="I76" s="438"/>
    </row>
    <row r="77" spans="1:9" s="442" customFormat="1" ht="21" customHeight="1">
      <c r="A77" s="131"/>
      <c r="B77" s="132"/>
      <c r="C77" s="133"/>
      <c r="D77" s="134"/>
      <c r="E77" s="134"/>
      <c r="F77" s="454" t="s">
        <v>575</v>
      </c>
      <c r="G77" s="136">
        <f>G18+G25+G32+G39+G48+G55+G62+G69+G76</f>
        <v>0</v>
      </c>
      <c r="H77" s="136">
        <f>H18+H25+H32+H39+H48+H55+H62+H69+H76</f>
        <v>0</v>
      </c>
      <c r="I77" s="441"/>
    </row>
    <row r="78" spans="1:9" ht="21" customHeight="1">
      <c r="A78" s="138"/>
      <c r="B78" s="139" t="s">
        <v>586</v>
      </c>
      <c r="C78" s="140"/>
      <c r="D78" s="141"/>
      <c r="E78" s="142"/>
      <c r="F78" s="142"/>
      <c r="G78" s="143"/>
      <c r="H78" s="144"/>
      <c r="I78" s="440"/>
    </row>
    <row r="79" spans="1:9">
      <c r="A79" s="100"/>
      <c r="B79" s="101"/>
      <c r="C79" s="102"/>
      <c r="D79" s="103" t="s">
        <v>581</v>
      </c>
      <c r="E79" s="104" t="s">
        <v>299</v>
      </c>
      <c r="F79" s="105" t="s">
        <v>287</v>
      </c>
      <c r="G79" s="105" t="s">
        <v>584</v>
      </c>
      <c r="H79" s="105" t="s">
        <v>584</v>
      </c>
      <c r="I79" s="439"/>
    </row>
    <row r="80" spans="1:9">
      <c r="A80" s="106"/>
      <c r="B80" s="107"/>
      <c r="C80" s="108"/>
      <c r="D80" s="109" t="s">
        <v>582</v>
      </c>
      <c r="E80" s="110" t="s">
        <v>583</v>
      </c>
      <c r="F80" s="111"/>
      <c r="G80" s="111" t="s">
        <v>583</v>
      </c>
      <c r="H80" s="111" t="s">
        <v>585</v>
      </c>
      <c r="I80" s="440"/>
    </row>
    <row r="81" spans="1:9" s="436" customFormat="1" ht="12.75">
      <c r="A81" s="9"/>
      <c r="B81" s="127" t="s">
        <v>288</v>
      </c>
      <c r="C81" s="145"/>
      <c r="D81" s="114"/>
      <c r="E81" s="114"/>
      <c r="F81" s="114"/>
      <c r="G81" s="119"/>
      <c r="H81" s="128"/>
      <c r="I81" s="438"/>
    </row>
    <row r="82" spans="1:9" s="436" customFormat="1" ht="12.75">
      <c r="A82" s="9"/>
      <c r="B82" s="437" t="s">
        <v>469</v>
      </c>
      <c r="C82" s="14" t="s">
        <v>473</v>
      </c>
      <c r="D82" s="2"/>
      <c r="E82" s="2"/>
      <c r="F82" s="118">
        <f>IF(AND(D82&lt;&gt;"",D82&lt;&gt;0),IF(D82&lt;=3,1.7*D82,(1.7*3)+((1.7*0.75)*(D82-3))),1.7)</f>
        <v>1.7</v>
      </c>
      <c r="G82" s="119">
        <f>IF(AND(D82&lt;&gt;"",D82&lt;&gt;0),E82*F82,0)</f>
        <v>0</v>
      </c>
      <c r="H82" s="119">
        <f>G82/15</f>
        <v>0</v>
      </c>
      <c r="I82" s="438"/>
    </row>
    <row r="83" spans="1:9" s="436" customFormat="1" ht="12.75">
      <c r="A83" s="9"/>
      <c r="B83" s="437" t="s">
        <v>470</v>
      </c>
      <c r="C83" s="14" t="s">
        <v>473</v>
      </c>
      <c r="D83" s="2"/>
      <c r="E83" s="2"/>
      <c r="F83" s="118">
        <f>IF(AND(D83&lt;&gt;"",D83&lt;&gt;0),IF(D83&lt;=3,1.7*D83,(1.7*3)+((1.7*0.75)*(D83-3))),1.7)</f>
        <v>1.7</v>
      </c>
      <c r="G83" s="119">
        <f>IF(AND(D83&lt;&gt;"",D83&lt;&gt;0),E83*F83,0)</f>
        <v>0</v>
      </c>
      <c r="H83" s="119">
        <f>G83/15</f>
        <v>0</v>
      </c>
      <c r="I83" s="438"/>
    </row>
    <row r="84" spans="1:9" s="436" customFormat="1" ht="12.75">
      <c r="A84" s="9"/>
      <c r="B84" s="437" t="s">
        <v>471</v>
      </c>
      <c r="C84" s="14" t="s">
        <v>473</v>
      </c>
      <c r="D84" s="2"/>
      <c r="E84" s="2"/>
      <c r="F84" s="118">
        <f>IF(AND(D84&lt;&gt;"",D84&lt;&gt;0),IF(D84&lt;=3,1.7*D84,(1.7*3)+((1.7*0.75)*(D84-3))),1.7)</f>
        <v>1.7</v>
      </c>
      <c r="G84" s="119">
        <f>IF(AND(D84&lt;&gt;"",D84&lt;&gt;0),E84*F84,0)</f>
        <v>0</v>
      </c>
      <c r="H84" s="119">
        <f>G84/15</f>
        <v>0</v>
      </c>
      <c r="I84" s="438"/>
    </row>
    <row r="85" spans="1:9" s="436" customFormat="1" ht="12.75">
      <c r="A85" s="9"/>
      <c r="B85" s="437" t="s">
        <v>472</v>
      </c>
      <c r="C85" s="14" t="s">
        <v>473</v>
      </c>
      <c r="D85" s="2"/>
      <c r="E85" s="2"/>
      <c r="F85" s="118">
        <f>IF(AND(D85&lt;&gt;"",D85&lt;&gt;0),IF(D85&lt;=3,1.7*D85,(1.7*3)+((1.7*0.75)*(D85-3))),1.7)</f>
        <v>1.7</v>
      </c>
      <c r="G85" s="119">
        <f>IF(AND(D85&lt;&gt;"",D85&lt;&gt;0),E85*F85,0)</f>
        <v>0</v>
      </c>
      <c r="H85" s="119">
        <f>G85/15</f>
        <v>0</v>
      </c>
      <c r="I85" s="438"/>
    </row>
    <row r="86" spans="1:9" s="436" customFormat="1" ht="12.75">
      <c r="A86" s="9"/>
      <c r="B86" s="437" t="s">
        <v>493</v>
      </c>
      <c r="C86" s="14" t="s">
        <v>473</v>
      </c>
      <c r="D86" s="2"/>
      <c r="E86" s="2"/>
      <c r="F86" s="118">
        <f>IF(AND(D86&lt;&gt;"",D86&lt;&gt;0),IF(D86&lt;=3,1.7*D86,(1.7*3)+((1.7*0.75)*(D86-3))),1.7)</f>
        <v>1.7</v>
      </c>
      <c r="G86" s="119">
        <f>IF(AND(D86&lt;&gt;"",D86&lt;&gt;0),E86*F86,0)</f>
        <v>0</v>
      </c>
      <c r="H86" s="119">
        <f>G86/15</f>
        <v>0</v>
      </c>
      <c r="I86" s="438"/>
    </row>
    <row r="87" spans="1:9" s="436" customFormat="1" ht="12.75">
      <c r="A87" s="9"/>
      <c r="B87" s="146"/>
      <c r="C87" s="130" t="s">
        <v>462</v>
      </c>
      <c r="D87" s="124"/>
      <c r="E87" s="124"/>
      <c r="F87" s="124"/>
      <c r="G87" s="126">
        <f>SUM(G82:G86)</f>
        <v>0</v>
      </c>
      <c r="H87" s="126">
        <f>SUM(H82:H86)</f>
        <v>0</v>
      </c>
      <c r="I87" s="438"/>
    </row>
    <row r="88" spans="1:9">
      <c r="A88" s="100"/>
      <c r="B88" s="101"/>
      <c r="C88" s="102"/>
      <c r="D88" s="103" t="s">
        <v>581</v>
      </c>
      <c r="E88" s="104" t="s">
        <v>299</v>
      </c>
      <c r="F88" s="105" t="s">
        <v>287</v>
      </c>
      <c r="G88" s="105" t="s">
        <v>584</v>
      </c>
      <c r="H88" s="105" t="s">
        <v>584</v>
      </c>
      <c r="I88" s="439"/>
    </row>
    <row r="89" spans="1:9">
      <c r="A89" s="106"/>
      <c r="B89" s="107"/>
      <c r="C89" s="108"/>
      <c r="D89" s="109" t="s">
        <v>582</v>
      </c>
      <c r="E89" s="110" t="s">
        <v>583</v>
      </c>
      <c r="F89" s="111"/>
      <c r="G89" s="111" t="s">
        <v>583</v>
      </c>
      <c r="H89" s="111" t="s">
        <v>585</v>
      </c>
      <c r="I89" s="440"/>
    </row>
    <row r="90" spans="1:9" s="436" customFormat="1" ht="12.75">
      <c r="A90" s="9"/>
      <c r="B90" s="127" t="s">
        <v>335</v>
      </c>
      <c r="C90" s="145"/>
      <c r="D90" s="114"/>
      <c r="E90" s="114"/>
      <c r="F90" s="114"/>
      <c r="G90" s="119"/>
      <c r="H90" s="128"/>
      <c r="I90" s="438"/>
    </row>
    <row r="91" spans="1:9" s="436" customFormat="1" ht="12.75">
      <c r="A91" s="9"/>
      <c r="B91" s="437" t="s">
        <v>469</v>
      </c>
      <c r="C91" s="14" t="s">
        <v>473</v>
      </c>
      <c r="D91" s="2"/>
      <c r="E91" s="2"/>
      <c r="F91" s="118">
        <f>IF(AND(D91&lt;&gt;"",D91&lt;&gt;0),IF(D91&lt;=3,1.7*D91,(1.7*3)+((1.7*0.75)*(D91-3))),1.7)</f>
        <v>1.7</v>
      </c>
      <c r="G91" s="119">
        <f>IF(AND(D91&lt;&gt;"",D91&lt;&gt;0),E91*F91,0)</f>
        <v>0</v>
      </c>
      <c r="H91" s="119">
        <f>G91/15</f>
        <v>0</v>
      </c>
      <c r="I91" s="438"/>
    </row>
    <row r="92" spans="1:9" s="436" customFormat="1" ht="12.75">
      <c r="A92" s="9"/>
      <c r="B92" s="437" t="s">
        <v>470</v>
      </c>
      <c r="C92" s="14" t="s">
        <v>473</v>
      </c>
      <c r="D92" s="2"/>
      <c r="E92" s="2"/>
      <c r="F92" s="118">
        <f>IF(AND(D92&lt;&gt;"",D92&lt;&gt;0),IF(D92&lt;=3,1.7*D92,(1.7*3)+((1.7*0.75)*(D92-3))),1.7)</f>
        <v>1.7</v>
      </c>
      <c r="G92" s="119">
        <f>IF(AND(D92&lt;&gt;"",D92&lt;&gt;0),E92*F92,0)</f>
        <v>0</v>
      </c>
      <c r="H92" s="119">
        <f>G92/15</f>
        <v>0</v>
      </c>
      <c r="I92" s="438"/>
    </row>
    <row r="93" spans="1:9" s="436" customFormat="1" ht="12.75">
      <c r="A93" s="9"/>
      <c r="B93" s="437" t="s">
        <v>471</v>
      </c>
      <c r="C93" s="14" t="s">
        <v>473</v>
      </c>
      <c r="D93" s="2"/>
      <c r="E93" s="2"/>
      <c r="F93" s="118">
        <f>IF(AND(D93&lt;&gt;"",D93&lt;&gt;0),IF(D93&lt;=3,1.7*D93,(1.7*3)+((1.7*0.75)*(D93-3))),1.7)</f>
        <v>1.7</v>
      </c>
      <c r="G93" s="119">
        <f>IF(AND(D93&lt;&gt;"",D93&lt;&gt;0),E93*F93,0)</f>
        <v>0</v>
      </c>
      <c r="H93" s="119">
        <f>G93/15</f>
        <v>0</v>
      </c>
      <c r="I93" s="438"/>
    </row>
    <row r="94" spans="1:9" s="436" customFormat="1" ht="12.75">
      <c r="A94" s="9"/>
      <c r="B94" s="437" t="s">
        <v>472</v>
      </c>
      <c r="C94" s="14" t="s">
        <v>473</v>
      </c>
      <c r="D94" s="2"/>
      <c r="E94" s="2"/>
      <c r="F94" s="670">
        <f>IF(AND(D94&lt;&gt;"",D94&lt;&gt;0),IF(D94&lt;=3,1.7*D94,(1.7*3)+((1.7*0.75)*(D94-3))),1.7)</f>
        <v>1.7</v>
      </c>
      <c r="G94" s="119">
        <f>IF(AND(D94&lt;&gt;"",D94&lt;&gt;0),E94*F94,0)</f>
        <v>0</v>
      </c>
      <c r="H94" s="119">
        <f>G94/15</f>
        <v>0</v>
      </c>
      <c r="I94" s="438"/>
    </row>
    <row r="95" spans="1:9" s="436" customFormat="1" ht="12.75">
      <c r="A95" s="9"/>
      <c r="B95" s="437" t="s">
        <v>493</v>
      </c>
      <c r="C95" s="14" t="s">
        <v>473</v>
      </c>
      <c r="D95" s="2"/>
      <c r="E95" s="2"/>
      <c r="F95" s="670">
        <f>IF(AND(D95&lt;&gt;"",D95&lt;&gt;0),IF(D95&lt;=3,1.7*D95,(1.7*3)+((1.7*0.75)*(D95-3))),1.7)</f>
        <v>1.7</v>
      </c>
      <c r="G95" s="119">
        <f>IF(AND(D95&lt;&gt;"",D95&lt;&gt;0),E95*F95,0)</f>
        <v>0</v>
      </c>
      <c r="H95" s="119">
        <f>G95/15</f>
        <v>0</v>
      </c>
      <c r="I95" s="438"/>
    </row>
    <row r="96" spans="1:9" s="436" customFormat="1" ht="12.75">
      <c r="A96" s="9"/>
      <c r="B96" s="146"/>
      <c r="C96" s="130" t="s">
        <v>462</v>
      </c>
      <c r="D96" s="124"/>
      <c r="E96" s="124"/>
      <c r="F96" s="124"/>
      <c r="G96" s="126">
        <f>SUM(G91:G95)</f>
        <v>0</v>
      </c>
      <c r="H96" s="126">
        <f>SUM(H91:H95)</f>
        <v>0</v>
      </c>
      <c r="I96" s="438"/>
    </row>
    <row r="97" spans="1:9" s="436" customFormat="1" ht="21" customHeight="1">
      <c r="A97" s="131"/>
      <c r="B97" s="132"/>
      <c r="C97" s="133"/>
      <c r="D97" s="134"/>
      <c r="E97" s="134"/>
      <c r="F97" s="135" t="s">
        <v>576</v>
      </c>
      <c r="G97" s="136">
        <f>G87+G96</f>
        <v>0</v>
      </c>
      <c r="H97" s="137">
        <f>H87+H96</f>
        <v>0</v>
      </c>
      <c r="I97" s="438"/>
    </row>
    <row r="98" spans="1:9" ht="21" customHeight="1">
      <c r="A98" s="138"/>
      <c r="B98" s="139" t="s">
        <v>587</v>
      </c>
      <c r="C98" s="140"/>
      <c r="D98" s="141"/>
      <c r="E98" s="142"/>
      <c r="F98" s="142"/>
      <c r="G98" s="143"/>
      <c r="H98" s="144"/>
      <c r="I98" s="440"/>
    </row>
    <row r="99" spans="1:9">
      <c r="A99" s="100"/>
      <c r="B99" s="101"/>
      <c r="C99" s="102"/>
      <c r="D99" s="103" t="s">
        <v>581</v>
      </c>
      <c r="E99" s="104" t="s">
        <v>299</v>
      </c>
      <c r="F99" s="105" t="s">
        <v>287</v>
      </c>
      <c r="G99" s="105" t="s">
        <v>584</v>
      </c>
      <c r="H99" s="105" t="s">
        <v>584</v>
      </c>
      <c r="I99" s="439"/>
    </row>
    <row r="100" spans="1:9">
      <c r="A100" s="106"/>
      <c r="B100" s="107"/>
      <c r="C100" s="108"/>
      <c r="D100" s="109" t="s">
        <v>582</v>
      </c>
      <c r="E100" s="110" t="s">
        <v>583</v>
      </c>
      <c r="F100" s="111"/>
      <c r="G100" s="111" t="s">
        <v>583</v>
      </c>
      <c r="H100" s="111" t="s">
        <v>585</v>
      </c>
      <c r="I100" s="440" t="s">
        <v>465</v>
      </c>
    </row>
    <row r="101" spans="1:9" s="436" customFormat="1" ht="12.75">
      <c r="A101" s="9"/>
      <c r="B101" s="127" t="s">
        <v>593</v>
      </c>
      <c r="C101" s="113"/>
      <c r="D101" s="114"/>
      <c r="E101" s="114"/>
      <c r="F101" s="114"/>
      <c r="G101" s="119"/>
      <c r="H101" s="116"/>
      <c r="I101" s="438"/>
    </row>
    <row r="102" spans="1:9" s="436" customFormat="1" ht="12.75">
      <c r="A102" s="9"/>
      <c r="B102" s="437" t="s">
        <v>469</v>
      </c>
      <c r="C102" s="14" t="s">
        <v>1279</v>
      </c>
      <c r="D102" s="2">
        <v>1</v>
      </c>
      <c r="E102" s="2">
        <v>15</v>
      </c>
      <c r="F102" s="118">
        <f>IF(AND(D102&lt;&gt;"",D102&lt;&gt;0),IF(D102&lt;=3,3*D102,(3*3)+((3*0.75)*(D102-3))),3)</f>
        <v>3</v>
      </c>
      <c r="G102" s="119">
        <f>IF(AND(D102&lt;&gt;"",D102&lt;&gt;0),E102*F102,0)</f>
        <v>45</v>
      </c>
      <c r="H102" s="119">
        <f t="shared" ref="H102:H111" si="3">G102/15</f>
        <v>3</v>
      </c>
      <c r="I102" s="438"/>
    </row>
    <row r="103" spans="1:9" s="436" customFormat="1" ht="12.75">
      <c r="A103" s="9"/>
      <c r="B103" s="437" t="s">
        <v>470</v>
      </c>
      <c r="C103" s="14" t="s">
        <v>473</v>
      </c>
      <c r="D103" s="2"/>
      <c r="E103" s="2"/>
      <c r="F103" s="118">
        <f t="shared" ref="F103:F111" si="4">IF(AND(D103&lt;&gt;"",D103&lt;&gt;0),IF(D103&lt;=3,3*D103,(3*3)+((3*0.75)*(D103-3))),3)</f>
        <v>3</v>
      </c>
      <c r="G103" s="119">
        <f>IF(AND(D103&lt;&gt;"",D103&lt;&gt;0),E103*F103,0)</f>
        <v>0</v>
      </c>
      <c r="H103" s="119">
        <f t="shared" si="3"/>
        <v>0</v>
      </c>
      <c r="I103" s="438"/>
    </row>
    <row r="104" spans="1:9" s="436" customFormat="1" ht="12.75">
      <c r="A104" s="9"/>
      <c r="B104" s="437" t="s">
        <v>471</v>
      </c>
      <c r="C104" s="14" t="s">
        <v>473</v>
      </c>
      <c r="D104" s="2"/>
      <c r="E104" s="2"/>
      <c r="F104" s="118">
        <f t="shared" si="4"/>
        <v>3</v>
      </c>
      <c r="G104" s="119">
        <f t="shared" ref="G104:G111" si="5">IF(AND(D104&lt;&gt;"",D104&lt;&gt;0),E104*F104,0)</f>
        <v>0</v>
      </c>
      <c r="H104" s="119">
        <f t="shared" si="3"/>
        <v>0</v>
      </c>
      <c r="I104" s="438"/>
    </row>
    <row r="105" spans="1:9" s="436" customFormat="1" ht="12.75">
      <c r="A105" s="9"/>
      <c r="B105" s="437" t="s">
        <v>472</v>
      </c>
      <c r="C105" s="14" t="s">
        <v>473</v>
      </c>
      <c r="D105" s="2"/>
      <c r="E105" s="2"/>
      <c r="F105" s="118">
        <f t="shared" si="4"/>
        <v>3</v>
      </c>
      <c r="G105" s="119">
        <f t="shared" si="5"/>
        <v>0</v>
      </c>
      <c r="H105" s="119">
        <f t="shared" si="3"/>
        <v>0</v>
      </c>
      <c r="I105" s="438"/>
    </row>
    <row r="106" spans="1:9" s="436" customFormat="1" ht="12.75">
      <c r="A106" s="9"/>
      <c r="B106" s="437" t="s">
        <v>493</v>
      </c>
      <c r="C106" s="14" t="s">
        <v>473</v>
      </c>
      <c r="D106" s="2"/>
      <c r="E106" s="2"/>
      <c r="F106" s="118">
        <f t="shared" si="4"/>
        <v>3</v>
      </c>
      <c r="G106" s="119">
        <f t="shared" si="5"/>
        <v>0</v>
      </c>
      <c r="H106" s="119">
        <f t="shared" si="3"/>
        <v>0</v>
      </c>
      <c r="I106" s="438"/>
    </row>
    <row r="107" spans="1:9" s="436" customFormat="1" ht="12.75">
      <c r="A107" s="9"/>
      <c r="B107" s="437" t="s">
        <v>743</v>
      </c>
      <c r="C107" s="14" t="s">
        <v>473</v>
      </c>
      <c r="D107" s="2"/>
      <c r="E107" s="2"/>
      <c r="F107" s="118">
        <f t="shared" si="4"/>
        <v>3</v>
      </c>
      <c r="G107" s="119">
        <f t="shared" si="5"/>
        <v>0</v>
      </c>
      <c r="H107" s="119">
        <f t="shared" si="3"/>
        <v>0</v>
      </c>
      <c r="I107" s="438"/>
    </row>
    <row r="108" spans="1:9" s="436" customFormat="1" ht="12.75">
      <c r="A108" s="9"/>
      <c r="B108" s="437" t="s">
        <v>744</v>
      </c>
      <c r="C108" s="14" t="s">
        <v>473</v>
      </c>
      <c r="D108" s="2"/>
      <c r="E108" s="2"/>
      <c r="F108" s="118">
        <f t="shared" si="4"/>
        <v>3</v>
      </c>
      <c r="G108" s="119">
        <f t="shared" si="5"/>
        <v>0</v>
      </c>
      <c r="H108" s="119">
        <f t="shared" si="3"/>
        <v>0</v>
      </c>
      <c r="I108" s="438"/>
    </row>
    <row r="109" spans="1:9" s="436" customFormat="1" ht="12.75">
      <c r="A109" s="9"/>
      <c r="B109" s="437" t="s">
        <v>745</v>
      </c>
      <c r="C109" s="14" t="s">
        <v>473</v>
      </c>
      <c r="D109" s="2"/>
      <c r="E109" s="2"/>
      <c r="F109" s="118">
        <f t="shared" si="4"/>
        <v>3</v>
      </c>
      <c r="G109" s="119">
        <f t="shared" si="5"/>
        <v>0</v>
      </c>
      <c r="H109" s="119">
        <f t="shared" si="3"/>
        <v>0</v>
      </c>
      <c r="I109" s="438"/>
    </row>
    <row r="110" spans="1:9" s="436" customFormat="1" ht="12.75">
      <c r="A110" s="9"/>
      <c r="B110" s="437" t="s">
        <v>756</v>
      </c>
      <c r="C110" s="14" t="s">
        <v>473</v>
      </c>
      <c r="D110" s="2"/>
      <c r="E110" s="2"/>
      <c r="F110" s="118">
        <f t="shared" si="4"/>
        <v>3</v>
      </c>
      <c r="G110" s="119">
        <f t="shared" si="5"/>
        <v>0</v>
      </c>
      <c r="H110" s="119">
        <f t="shared" si="3"/>
        <v>0</v>
      </c>
      <c r="I110" s="438"/>
    </row>
    <row r="111" spans="1:9" s="436" customFormat="1" ht="12.75">
      <c r="A111" s="9"/>
      <c r="B111" s="437" t="s">
        <v>757</v>
      </c>
      <c r="C111" s="14" t="s">
        <v>473</v>
      </c>
      <c r="D111" s="2"/>
      <c r="E111" s="2"/>
      <c r="F111" s="118">
        <f t="shared" si="4"/>
        <v>3</v>
      </c>
      <c r="G111" s="119">
        <f t="shared" si="5"/>
        <v>0</v>
      </c>
      <c r="H111" s="119">
        <f t="shared" si="3"/>
        <v>0</v>
      </c>
      <c r="I111" s="438"/>
    </row>
    <row r="112" spans="1:9" s="436" customFormat="1" ht="12.75">
      <c r="A112" s="148"/>
      <c r="B112" s="146"/>
      <c r="C112" s="130" t="s">
        <v>462</v>
      </c>
      <c r="D112" s="124"/>
      <c r="E112" s="124"/>
      <c r="F112" s="125"/>
      <c r="G112" s="126">
        <f>SUM(G102:G111)</f>
        <v>45</v>
      </c>
      <c r="H112" s="126">
        <f>SUM(H102:H111)</f>
        <v>3</v>
      </c>
      <c r="I112" s="438"/>
    </row>
    <row r="113" spans="1:9">
      <c r="A113" s="100"/>
      <c r="B113" s="101"/>
      <c r="C113" s="102"/>
      <c r="D113" s="103" t="s">
        <v>581</v>
      </c>
      <c r="E113" s="104" t="s">
        <v>299</v>
      </c>
      <c r="F113" s="105" t="s">
        <v>287</v>
      </c>
      <c r="G113" s="105" t="s">
        <v>584</v>
      </c>
      <c r="H113" s="105" t="s">
        <v>584</v>
      </c>
      <c r="I113" s="439"/>
    </row>
    <row r="114" spans="1:9">
      <c r="A114" s="106"/>
      <c r="B114" s="107"/>
      <c r="C114" s="108"/>
      <c r="D114" s="109" t="s">
        <v>582</v>
      </c>
      <c r="E114" s="110" t="s">
        <v>583</v>
      </c>
      <c r="F114" s="111"/>
      <c r="G114" s="111" t="s">
        <v>583</v>
      </c>
      <c r="H114" s="111" t="s">
        <v>585</v>
      </c>
      <c r="I114" s="440" t="s">
        <v>465</v>
      </c>
    </row>
    <row r="115" spans="1:9" s="436" customFormat="1" ht="12.75">
      <c r="A115" s="9"/>
      <c r="B115" s="127" t="s">
        <v>501</v>
      </c>
      <c r="C115" s="113"/>
      <c r="D115" s="114"/>
      <c r="E115" s="114"/>
      <c r="F115" s="114"/>
      <c r="G115" s="119"/>
      <c r="H115" s="116"/>
      <c r="I115" s="438"/>
    </row>
    <row r="116" spans="1:9" s="436" customFormat="1" ht="12.75">
      <c r="A116" s="9"/>
      <c r="B116" s="437" t="s">
        <v>469</v>
      </c>
      <c r="C116" s="14" t="s">
        <v>1281</v>
      </c>
      <c r="D116" s="2">
        <v>1</v>
      </c>
      <c r="E116" s="2">
        <v>45</v>
      </c>
      <c r="F116" s="118">
        <f>IF(AND(D116&lt;&gt;"",D116&lt;&gt;0),IF(D116&lt;=3,3.75*D116,(3.75*3)+((3.75*0.75)*(D116-3))),3.75)</f>
        <v>3.75</v>
      </c>
      <c r="G116" s="119">
        <f>IF(AND(D116&lt;&gt;"",D116&lt;&gt;0),E116*F116,0)</f>
        <v>168.75</v>
      </c>
      <c r="H116" s="147">
        <f>G116/15</f>
        <v>11.25</v>
      </c>
      <c r="I116" s="438"/>
    </row>
    <row r="117" spans="1:9" s="436" customFormat="1" ht="12.75">
      <c r="A117" s="9"/>
      <c r="B117" s="437" t="s">
        <v>470</v>
      </c>
      <c r="C117" s="14" t="s">
        <v>1280</v>
      </c>
      <c r="D117" s="2">
        <v>1</v>
      </c>
      <c r="E117" s="2">
        <v>18</v>
      </c>
      <c r="F117" s="118">
        <f>IF(AND(D117&lt;&gt;"",D117&lt;&gt;0),IF(D117&lt;=3,3.75*D117,(3.75*3)+((3.75*0.75)*(D117-3))),3.75)</f>
        <v>3.75</v>
      </c>
      <c r="G117" s="119">
        <f>IF(AND(D117&lt;&gt;"",D117&lt;&gt;0),E117*F117,0)</f>
        <v>67.5</v>
      </c>
      <c r="H117" s="147">
        <f>G117/15</f>
        <v>4.5</v>
      </c>
      <c r="I117" s="438"/>
    </row>
    <row r="118" spans="1:9" s="436" customFormat="1" ht="12.75">
      <c r="A118" s="9"/>
      <c r="B118" s="437" t="s">
        <v>471</v>
      </c>
      <c r="C118" s="1436"/>
      <c r="D118" s="2"/>
      <c r="E118" s="2"/>
      <c r="F118" s="118">
        <f>IF(AND(D118&lt;&gt;"",D118&lt;&gt;0),IF(D118&lt;=3,3.75*D118,(3.75*3)+((3.75*0.75)*(D118-3))),3.75)</f>
        <v>3.75</v>
      </c>
      <c r="G118" s="119">
        <f>IF(AND(D118&lt;&gt;"",D118&lt;&gt;0),E118*F118,0)</f>
        <v>0</v>
      </c>
      <c r="H118" s="147">
        <f>G118/15</f>
        <v>0</v>
      </c>
      <c r="I118" s="438"/>
    </row>
    <row r="119" spans="1:9" s="436" customFormat="1" ht="12.75">
      <c r="A119" s="9"/>
      <c r="B119" s="437" t="s">
        <v>472</v>
      </c>
      <c r="C119" s="14" t="s">
        <v>473</v>
      </c>
      <c r="D119" s="2"/>
      <c r="E119" s="2"/>
      <c r="F119" s="119">
        <f>IF(AND(D119&lt;&gt;"",D119&lt;&gt;0),IF(D119&lt;=3,3.75*D119,(3.75*3)+((3.75*0.75)*(D119-3))),3.75)</f>
        <v>3.75</v>
      </c>
      <c r="G119" s="119">
        <f>IF(AND(D119&lt;&gt;"",D119&lt;&gt;0),E119*F119,0)</f>
        <v>0</v>
      </c>
      <c r="H119" s="147">
        <f>G119/15</f>
        <v>0</v>
      </c>
      <c r="I119" s="438"/>
    </row>
    <row r="120" spans="1:9" s="436" customFormat="1" ht="12.75">
      <c r="A120" s="9"/>
      <c r="B120" s="437" t="s">
        <v>493</v>
      </c>
      <c r="C120" s="14" t="s">
        <v>473</v>
      </c>
      <c r="D120" s="2"/>
      <c r="E120" s="2"/>
      <c r="F120" s="118">
        <f>IF(AND(D120&lt;&gt;"",D120&lt;&gt;0),IF(D120&lt;=3,3.75*D120,(3.75*3)+((3.75*0.75)*(D120-3))),3.75)</f>
        <v>3.75</v>
      </c>
      <c r="G120" s="119">
        <f>IF(AND(D120&lt;&gt;"",D120&lt;&gt;0),E120*F120,0)</f>
        <v>0</v>
      </c>
      <c r="H120" s="147">
        <f>G120/15</f>
        <v>0</v>
      </c>
      <c r="I120" s="438"/>
    </row>
    <row r="121" spans="1:9" s="436" customFormat="1" ht="12.75">
      <c r="A121" s="9"/>
      <c r="B121" s="146"/>
      <c r="C121" s="130" t="s">
        <v>462</v>
      </c>
      <c r="D121" s="124"/>
      <c r="E121" s="124"/>
      <c r="F121" s="125"/>
      <c r="G121" s="126">
        <f>SUM(G116:G120)</f>
        <v>236.25</v>
      </c>
      <c r="H121" s="126">
        <f>SUM(H116:H120)</f>
        <v>15.75</v>
      </c>
      <c r="I121" s="438"/>
    </row>
    <row r="122" spans="1:9">
      <c r="A122" s="100"/>
      <c r="B122" s="101"/>
      <c r="C122" s="102"/>
      <c r="D122" s="103" t="s">
        <v>581</v>
      </c>
      <c r="E122" s="104" t="s">
        <v>299</v>
      </c>
      <c r="F122" s="105" t="s">
        <v>287</v>
      </c>
      <c r="G122" s="105" t="s">
        <v>584</v>
      </c>
      <c r="H122" s="105" t="s">
        <v>584</v>
      </c>
      <c r="I122" s="439"/>
    </row>
    <row r="123" spans="1:9">
      <c r="A123" s="106"/>
      <c r="B123" s="107"/>
      <c r="C123" s="108"/>
      <c r="D123" s="109" t="s">
        <v>582</v>
      </c>
      <c r="E123" s="110" t="s">
        <v>583</v>
      </c>
      <c r="F123" s="111"/>
      <c r="G123" s="111" t="s">
        <v>583</v>
      </c>
      <c r="H123" s="111" t="s">
        <v>585</v>
      </c>
      <c r="I123" s="440" t="s">
        <v>465</v>
      </c>
    </row>
    <row r="124" spans="1:9" s="436" customFormat="1" ht="12.75">
      <c r="A124" s="9"/>
      <c r="B124" s="127" t="s">
        <v>503</v>
      </c>
      <c r="C124" s="113"/>
      <c r="D124" s="114"/>
      <c r="E124" s="114"/>
      <c r="F124" s="114"/>
      <c r="G124" s="119"/>
      <c r="H124" s="128"/>
      <c r="I124" s="438"/>
    </row>
    <row r="125" spans="1:9" s="436" customFormat="1" ht="12.75">
      <c r="A125" s="9"/>
      <c r="B125" s="437" t="s">
        <v>469</v>
      </c>
      <c r="C125" s="14" t="s">
        <v>473</v>
      </c>
      <c r="D125" s="2"/>
      <c r="E125" s="2"/>
      <c r="F125" s="118">
        <f>IF(AND(D125&lt;&gt;"",D125&lt;&gt;0),IF(D125&lt;=3,4.5*D125,(4.5*3)+((4.5*0.75)*(D125-3))),4.5)</f>
        <v>4.5</v>
      </c>
      <c r="G125" s="119">
        <f>IF(AND(D125&lt;&gt;"",D125&lt;&gt;0),E125*F125,0)</f>
        <v>0</v>
      </c>
      <c r="H125" s="147">
        <f>G125/15</f>
        <v>0</v>
      </c>
      <c r="I125" s="438"/>
    </row>
    <row r="126" spans="1:9" s="436" customFormat="1" ht="12.75">
      <c r="A126" s="9"/>
      <c r="B126" s="437" t="s">
        <v>470</v>
      </c>
      <c r="C126" s="14" t="s">
        <v>473</v>
      </c>
      <c r="D126" s="2"/>
      <c r="E126" s="2"/>
      <c r="F126" s="118">
        <f>IF(AND(D126&lt;&gt;"",D126&lt;&gt;0),IF(D126&lt;=3,4.5*D126,(4.5*3)+((4.5*0.75)*(D126-3))),4.5)</f>
        <v>4.5</v>
      </c>
      <c r="G126" s="119">
        <f>IF(AND(D126&lt;&gt;"",D126&lt;&gt;0),E126*F126,0)</f>
        <v>0</v>
      </c>
      <c r="H126" s="147">
        <f>G126/15</f>
        <v>0</v>
      </c>
      <c r="I126" s="438"/>
    </row>
    <row r="127" spans="1:9" s="436" customFormat="1" ht="12.75">
      <c r="A127" s="9"/>
      <c r="B127" s="437" t="s">
        <v>471</v>
      </c>
      <c r="C127" s="14" t="s">
        <v>473</v>
      </c>
      <c r="D127" s="2"/>
      <c r="E127" s="2"/>
      <c r="F127" s="119">
        <f>IF(AND(D127&lt;&gt;"",D127&lt;&gt;0),IF(D127&lt;=3,4.5*D127,(4.5*3)+((4.5*0.75)*(D127-3))),4.5)</f>
        <v>4.5</v>
      </c>
      <c r="G127" s="119">
        <f>IF(AND(D127&lt;&gt;"",D127&lt;&gt;0),E127*F127,0)</f>
        <v>0</v>
      </c>
      <c r="H127" s="147">
        <f>G127/15</f>
        <v>0</v>
      </c>
      <c r="I127" s="438"/>
    </row>
    <row r="128" spans="1:9" s="436" customFormat="1" ht="12.75">
      <c r="A128" s="9"/>
      <c r="B128" s="146"/>
      <c r="C128" s="130" t="s">
        <v>462</v>
      </c>
      <c r="D128" s="124"/>
      <c r="E128" s="124"/>
      <c r="F128" s="124"/>
      <c r="G128" s="126">
        <f>SUM(G125:G127)</f>
        <v>0</v>
      </c>
      <c r="H128" s="126">
        <f>SUM(H125:H127)</f>
        <v>0</v>
      </c>
      <c r="I128" s="438"/>
    </row>
    <row r="129" spans="1:9">
      <c r="A129" s="100"/>
      <c r="B129" s="101"/>
      <c r="C129" s="102"/>
      <c r="D129" s="103" t="s">
        <v>581</v>
      </c>
      <c r="E129" s="104" t="s">
        <v>299</v>
      </c>
      <c r="F129" s="105" t="s">
        <v>287</v>
      </c>
      <c r="G129" s="105" t="s">
        <v>584</v>
      </c>
      <c r="H129" s="105" t="s">
        <v>584</v>
      </c>
      <c r="I129" s="439"/>
    </row>
    <row r="130" spans="1:9">
      <c r="A130" s="106"/>
      <c r="B130" s="107"/>
      <c r="C130" s="108"/>
      <c r="D130" s="109" t="s">
        <v>582</v>
      </c>
      <c r="E130" s="110" t="s">
        <v>583</v>
      </c>
      <c r="F130" s="111"/>
      <c r="G130" s="111" t="s">
        <v>583</v>
      </c>
      <c r="H130" s="111" t="s">
        <v>585</v>
      </c>
      <c r="I130" s="440" t="s">
        <v>465</v>
      </c>
    </row>
    <row r="131" spans="1:9" s="436" customFormat="1" ht="12.75">
      <c r="A131" s="9"/>
      <c r="B131" s="127" t="s">
        <v>732</v>
      </c>
      <c r="C131" s="113"/>
      <c r="D131" s="114"/>
      <c r="E131" s="114"/>
      <c r="F131" s="114"/>
      <c r="G131" s="119"/>
      <c r="H131" s="128"/>
      <c r="I131" s="438"/>
    </row>
    <row r="132" spans="1:9" s="436" customFormat="1" ht="12.75">
      <c r="A132" s="9"/>
      <c r="B132" s="437" t="s">
        <v>469</v>
      </c>
      <c r="C132" s="14" t="s">
        <v>473</v>
      </c>
      <c r="D132" s="2"/>
      <c r="E132" s="2"/>
      <c r="F132" s="118">
        <f>IF(AND(D132&lt;&gt;"",D132&lt;&gt;0),IF(D132&lt;=3,5.25*D132,(5.25*3)+((5.25*0.75)*(D132-3))),5.25)</f>
        <v>5.25</v>
      </c>
      <c r="G132" s="119">
        <f>IF(AND(D132&lt;&gt;"",D132&lt;&gt;0),E132*F132,0)</f>
        <v>0</v>
      </c>
      <c r="H132" s="147">
        <f>G132/15</f>
        <v>0</v>
      </c>
      <c r="I132" s="438"/>
    </row>
    <row r="133" spans="1:9" s="436" customFormat="1" ht="12.75">
      <c r="A133" s="9"/>
      <c r="B133" s="437" t="s">
        <v>470</v>
      </c>
      <c r="C133" s="14" t="s">
        <v>473</v>
      </c>
      <c r="D133" s="2"/>
      <c r="E133" s="2"/>
      <c r="F133" s="118">
        <f>IF(AND(D133&lt;&gt;"",D133&lt;&gt;0),IF(D133&lt;=3,5.25*D133,(5.25*3)+((5.25*0.75)*(D133-3))),5.25)</f>
        <v>5.25</v>
      </c>
      <c r="G133" s="119">
        <f>IF(AND(D133&lt;&gt;"",D133&lt;&gt;0),E133*F133,0)</f>
        <v>0</v>
      </c>
      <c r="H133" s="147">
        <f>G133/15</f>
        <v>0</v>
      </c>
      <c r="I133" s="438"/>
    </row>
    <row r="134" spans="1:9" s="436" customFormat="1" ht="12.75">
      <c r="A134" s="9"/>
      <c r="B134" s="437" t="s">
        <v>471</v>
      </c>
      <c r="C134" s="14" t="s">
        <v>473</v>
      </c>
      <c r="D134" s="2"/>
      <c r="E134" s="2"/>
      <c r="F134" s="119">
        <f>IF(AND(D134&lt;&gt;"",D134&lt;&gt;0),IF(D134&lt;=3,5.25*D134,(5.25*3)+((5.25*0.75)*(D134-3))),5.25)</f>
        <v>5.25</v>
      </c>
      <c r="G134" s="119">
        <f>IF(AND(D134&lt;&gt;"",D134&lt;&gt;0),E134*F134,0)</f>
        <v>0</v>
      </c>
      <c r="H134" s="147">
        <f>G134/15</f>
        <v>0</v>
      </c>
      <c r="I134" s="438"/>
    </row>
    <row r="135" spans="1:9" s="436" customFormat="1" ht="12.75">
      <c r="A135" s="9"/>
      <c r="B135" s="146"/>
      <c r="C135" s="130" t="s">
        <v>462</v>
      </c>
      <c r="D135" s="124"/>
      <c r="E135" s="124"/>
      <c r="F135" s="124"/>
      <c r="G135" s="126">
        <f>SUM(G132:G134)</f>
        <v>0</v>
      </c>
      <c r="H135" s="126">
        <f>SUM(H132:H134)</f>
        <v>0</v>
      </c>
      <c r="I135" s="438"/>
    </row>
    <row r="136" spans="1:9">
      <c r="A136" s="100"/>
      <c r="B136" s="101"/>
      <c r="C136" s="102"/>
      <c r="D136" s="103" t="s">
        <v>581</v>
      </c>
      <c r="E136" s="104" t="s">
        <v>299</v>
      </c>
      <c r="F136" s="105" t="s">
        <v>287</v>
      </c>
      <c r="G136" s="105" t="s">
        <v>584</v>
      </c>
      <c r="H136" s="105" t="s">
        <v>584</v>
      </c>
      <c r="I136" s="439"/>
    </row>
    <row r="137" spans="1:9">
      <c r="A137" s="106"/>
      <c r="B137" s="107"/>
      <c r="C137" s="108"/>
      <c r="D137" s="109" t="s">
        <v>582</v>
      </c>
      <c r="E137" s="110" t="s">
        <v>583</v>
      </c>
      <c r="F137" s="111"/>
      <c r="G137" s="111" t="s">
        <v>583</v>
      </c>
      <c r="H137" s="111" t="s">
        <v>585</v>
      </c>
      <c r="I137" s="440" t="s">
        <v>465</v>
      </c>
    </row>
    <row r="138" spans="1:9" s="436" customFormat="1" ht="12.75">
      <c r="A138" s="9"/>
      <c r="B138" s="127" t="s">
        <v>504</v>
      </c>
      <c r="C138" s="113"/>
      <c r="D138" s="114"/>
      <c r="E138" s="114"/>
      <c r="F138" s="114"/>
      <c r="G138" s="119"/>
      <c r="H138" s="128"/>
      <c r="I138" s="438"/>
    </row>
    <row r="139" spans="1:9" s="436" customFormat="1" ht="12.75">
      <c r="A139" s="9"/>
      <c r="B139" s="437" t="s">
        <v>469</v>
      </c>
      <c r="C139" s="14" t="s">
        <v>473</v>
      </c>
      <c r="D139" s="2"/>
      <c r="E139" s="2"/>
      <c r="F139" s="118">
        <f>IF(AND(D139&lt;&gt;"",D139&lt;&gt;0),IF(D139&lt;=3,6*D139,(6*3)+((6*0.75)*(D139-3))),6)</f>
        <v>6</v>
      </c>
      <c r="G139" s="119">
        <f>IF(AND(D139&lt;&gt;"",D139&lt;&gt;0),E139*F139,0)</f>
        <v>0</v>
      </c>
      <c r="H139" s="147">
        <f>G139/15</f>
        <v>0</v>
      </c>
      <c r="I139" s="438"/>
    </row>
    <row r="140" spans="1:9" s="436" customFormat="1" ht="12.75">
      <c r="A140" s="9"/>
      <c r="B140" s="437" t="s">
        <v>470</v>
      </c>
      <c r="C140" s="14" t="s">
        <v>473</v>
      </c>
      <c r="D140" s="2"/>
      <c r="E140" s="2"/>
      <c r="F140" s="118">
        <f>IF(AND(D140&lt;&gt;"",D140&lt;&gt;0),IF(D140&lt;=3,6*D140,(6*3)+((6*0.75)*(D140-3))),6)</f>
        <v>6</v>
      </c>
      <c r="G140" s="119">
        <f>IF(AND(D140&lt;&gt;"",D140&lt;&gt;0),E140*F140,0)</f>
        <v>0</v>
      </c>
      <c r="H140" s="147">
        <f>G140/15</f>
        <v>0</v>
      </c>
      <c r="I140" s="438"/>
    </row>
    <row r="141" spans="1:9" s="436" customFormat="1" ht="12.75">
      <c r="A141" s="9"/>
      <c r="B141" s="437" t="s">
        <v>471</v>
      </c>
      <c r="C141" s="14" t="s">
        <v>473</v>
      </c>
      <c r="D141" s="2"/>
      <c r="E141" s="2"/>
      <c r="F141" s="118">
        <f>IF(AND(D141&lt;&gt;"",D141&lt;&gt;0),IF(D141&lt;=3,6*D141,(6*3)+((6*0.75)*(D141-3))),6)</f>
        <v>6</v>
      </c>
      <c r="G141" s="119">
        <f>IF(AND(D141&lt;&gt;"",D141&lt;&gt;0),E141*F141,0)</f>
        <v>0</v>
      </c>
      <c r="H141" s="147">
        <f>G141/15</f>
        <v>0</v>
      </c>
      <c r="I141" s="438"/>
    </row>
    <row r="142" spans="1:9" s="436" customFormat="1" ht="12.75">
      <c r="A142" s="9"/>
      <c r="B142" s="146"/>
      <c r="C142" s="130" t="s">
        <v>462</v>
      </c>
      <c r="D142" s="124"/>
      <c r="E142" s="124"/>
      <c r="F142" s="124"/>
      <c r="G142" s="126">
        <f>SUM(G139:G141)</f>
        <v>0</v>
      </c>
      <c r="H142" s="126">
        <f>SUM(H139:H141)</f>
        <v>0</v>
      </c>
      <c r="I142" s="438"/>
    </row>
    <row r="143" spans="1:9">
      <c r="A143" s="100"/>
      <c r="B143" s="101"/>
      <c r="C143" s="102"/>
      <c r="D143" s="103" t="s">
        <v>581</v>
      </c>
      <c r="E143" s="104" t="s">
        <v>299</v>
      </c>
      <c r="F143" s="105" t="s">
        <v>287</v>
      </c>
      <c r="G143" s="105" t="s">
        <v>584</v>
      </c>
      <c r="H143" s="105" t="s">
        <v>584</v>
      </c>
      <c r="I143" s="439"/>
    </row>
    <row r="144" spans="1:9">
      <c r="A144" s="106"/>
      <c r="B144" s="107"/>
      <c r="C144" s="108"/>
      <c r="D144" s="109" t="s">
        <v>582</v>
      </c>
      <c r="E144" s="110" t="s">
        <v>583</v>
      </c>
      <c r="F144" s="111"/>
      <c r="G144" s="111" t="s">
        <v>583</v>
      </c>
      <c r="H144" s="111" t="s">
        <v>585</v>
      </c>
      <c r="I144" s="440" t="s">
        <v>465</v>
      </c>
    </row>
    <row r="145" spans="1:9" s="436" customFormat="1" ht="12.75">
      <c r="A145" s="9"/>
      <c r="B145" s="127" t="s">
        <v>505</v>
      </c>
      <c r="C145" s="113"/>
      <c r="D145" s="114"/>
      <c r="E145" s="114"/>
      <c r="F145" s="114"/>
      <c r="G145" s="119"/>
      <c r="H145" s="128"/>
      <c r="I145" s="438"/>
    </row>
    <row r="146" spans="1:9" s="436" customFormat="1" ht="12.75">
      <c r="A146" s="9"/>
      <c r="B146" s="437" t="s">
        <v>469</v>
      </c>
      <c r="C146" s="14" t="s">
        <v>473</v>
      </c>
      <c r="D146" s="2"/>
      <c r="E146" s="2"/>
      <c r="F146" s="118">
        <f>IF(AND(D146&lt;&gt;"",D146&lt;&gt;0),IF(D146&lt;=3,6.75*D146,(6.75*3)+((6.75*0.75)*(D146-3))),6.75)</f>
        <v>6.75</v>
      </c>
      <c r="G146" s="119">
        <f>IF(AND(D146&lt;&gt;"",D146&lt;&gt;0),E146*F146,0)</f>
        <v>0</v>
      </c>
      <c r="H146" s="147">
        <f>G146/15</f>
        <v>0</v>
      </c>
      <c r="I146" s="438"/>
    </row>
    <row r="147" spans="1:9" s="436" customFormat="1" ht="12.75">
      <c r="A147" s="9"/>
      <c r="B147" s="437" t="s">
        <v>470</v>
      </c>
      <c r="C147" s="14" t="s">
        <v>473</v>
      </c>
      <c r="D147" s="2"/>
      <c r="E147" s="2"/>
      <c r="F147" s="118">
        <f>IF(AND(D147&lt;&gt;"",D147&lt;&gt;0),IF(D147&lt;=3,6.75*D147,(6.75*3)+((6.75*0.75)*(D147-3))),6.75)</f>
        <v>6.75</v>
      </c>
      <c r="G147" s="119">
        <f>E147*F147</f>
        <v>0</v>
      </c>
      <c r="H147" s="147">
        <f>G147/15</f>
        <v>0</v>
      </c>
      <c r="I147" s="438"/>
    </row>
    <row r="148" spans="1:9" s="436" customFormat="1" ht="12.75">
      <c r="A148" s="9"/>
      <c r="B148" s="437" t="s">
        <v>471</v>
      </c>
      <c r="C148" s="14" t="s">
        <v>473</v>
      </c>
      <c r="D148" s="2"/>
      <c r="E148" s="2"/>
      <c r="F148" s="119">
        <f>IF(AND(D148&lt;&gt;"",D148&lt;&gt;0),IF(D148&lt;=3,6.75*D148,(6.75*3)+((6.75*0.75)*(D148-3))),6.75)</f>
        <v>6.75</v>
      </c>
      <c r="G148" s="119">
        <f>E148*F148</f>
        <v>0</v>
      </c>
      <c r="H148" s="147">
        <f>G148/15</f>
        <v>0</v>
      </c>
      <c r="I148" s="438"/>
    </row>
    <row r="149" spans="1:9" s="436" customFormat="1" ht="12.75">
      <c r="A149" s="148"/>
      <c r="B149" s="146"/>
      <c r="C149" s="130" t="s">
        <v>462</v>
      </c>
      <c r="D149" s="124"/>
      <c r="E149" s="124"/>
      <c r="F149" s="124"/>
      <c r="G149" s="126">
        <f>SUM(G146:G148)</f>
        <v>0</v>
      </c>
      <c r="H149" s="126">
        <f>SUM(H146:H148)</f>
        <v>0</v>
      </c>
      <c r="I149" s="438"/>
    </row>
    <row r="150" spans="1:9">
      <c r="A150" s="100"/>
      <c r="B150" s="101"/>
      <c r="C150" s="102"/>
      <c r="D150" s="103" t="s">
        <v>581</v>
      </c>
      <c r="E150" s="104" t="s">
        <v>299</v>
      </c>
      <c r="F150" s="105" t="s">
        <v>287</v>
      </c>
      <c r="G150" s="105" t="s">
        <v>584</v>
      </c>
      <c r="H150" s="105" t="s">
        <v>584</v>
      </c>
      <c r="I150" s="439"/>
    </row>
    <row r="151" spans="1:9">
      <c r="A151" s="106"/>
      <c r="B151" s="107"/>
      <c r="C151" s="108"/>
      <c r="D151" s="109" t="s">
        <v>582</v>
      </c>
      <c r="E151" s="110" t="s">
        <v>583</v>
      </c>
      <c r="F151" s="111"/>
      <c r="G151" s="111" t="s">
        <v>583</v>
      </c>
      <c r="H151" s="111" t="s">
        <v>585</v>
      </c>
      <c r="I151" s="440" t="s">
        <v>465</v>
      </c>
    </row>
    <row r="152" spans="1:9" s="436" customFormat="1" ht="12.75">
      <c r="A152" s="9"/>
      <c r="B152" s="127" t="s">
        <v>506</v>
      </c>
      <c r="C152" s="113"/>
      <c r="D152" s="114"/>
      <c r="E152" s="114"/>
      <c r="F152" s="114"/>
      <c r="G152" s="119"/>
      <c r="H152" s="128"/>
      <c r="I152" s="438"/>
    </row>
    <row r="153" spans="1:9" s="436" customFormat="1" ht="12.75">
      <c r="A153" s="9"/>
      <c r="B153" s="437" t="s">
        <v>469</v>
      </c>
      <c r="C153" s="14" t="s">
        <v>473</v>
      </c>
      <c r="D153" s="2"/>
      <c r="E153" s="2"/>
      <c r="F153" s="118">
        <f>IF(AND(D153&lt;&gt;"",D153&lt;&gt;0),IF(D153&lt;=3,7.5*D153,(7.5*3)+((7.5*0.75)*(D153-3))),7.5)</f>
        <v>7.5</v>
      </c>
      <c r="G153" s="119">
        <f>IF(AND(D153&lt;&gt;"",D153&lt;&gt;0),E153*F153,0)</f>
        <v>0</v>
      </c>
      <c r="H153" s="147">
        <f>G153/15</f>
        <v>0</v>
      </c>
      <c r="I153" s="438"/>
    </row>
    <row r="154" spans="1:9" s="436" customFormat="1" ht="12.75">
      <c r="A154" s="9"/>
      <c r="B154" s="437" t="s">
        <v>470</v>
      </c>
      <c r="C154" s="14" t="s">
        <v>473</v>
      </c>
      <c r="D154" s="2"/>
      <c r="E154" s="2"/>
      <c r="F154" s="118">
        <f>IF(AND(D154&lt;&gt;"",D154&lt;&gt;0),IF(D154&lt;=3,7.5*D154,(7.5*3)+((7.5*0.75)*(D154-3))),7.5)</f>
        <v>7.5</v>
      </c>
      <c r="G154" s="119">
        <f>IF(AND(D154&lt;&gt;"",D154&lt;&gt;0),E154*F154,0)</f>
        <v>0</v>
      </c>
      <c r="H154" s="147">
        <f>G154/15</f>
        <v>0</v>
      </c>
      <c r="I154" s="438"/>
    </row>
    <row r="155" spans="1:9" s="436" customFormat="1" ht="12.75">
      <c r="A155" s="9"/>
      <c r="B155" s="437" t="s">
        <v>471</v>
      </c>
      <c r="C155" s="14" t="s">
        <v>473</v>
      </c>
      <c r="D155" s="2"/>
      <c r="E155" s="2"/>
      <c r="F155" s="119">
        <f>IF(AND(D155&lt;&gt;"",D155&lt;&gt;0),IF(D155&lt;=3,7.5*D155,(7.5*3)+((7.5*0.75)*(D155-3))),7.5)</f>
        <v>7.5</v>
      </c>
      <c r="G155" s="119">
        <f>IF(AND(D155&lt;&gt;"",D155&lt;&gt;0),E155*F155,0)</f>
        <v>0</v>
      </c>
      <c r="H155" s="147">
        <f>G155/15</f>
        <v>0</v>
      </c>
      <c r="I155" s="438"/>
    </row>
    <row r="156" spans="1:9" s="436" customFormat="1" ht="12.75">
      <c r="A156" s="148"/>
      <c r="B156" s="146"/>
      <c r="C156" s="130" t="s">
        <v>462</v>
      </c>
      <c r="D156" s="124"/>
      <c r="E156" s="124"/>
      <c r="F156" s="124"/>
      <c r="G156" s="126">
        <f>SUM(G153:G155)</f>
        <v>0</v>
      </c>
      <c r="H156" s="126">
        <f>SUM(H153:H155)</f>
        <v>0</v>
      </c>
      <c r="I156" s="438"/>
    </row>
    <row r="157" spans="1:9">
      <c r="A157" s="100"/>
      <c r="B157" s="101"/>
      <c r="C157" s="102"/>
      <c r="D157" s="103" t="s">
        <v>581</v>
      </c>
      <c r="E157" s="104" t="s">
        <v>299</v>
      </c>
      <c r="F157" s="105" t="s">
        <v>287</v>
      </c>
      <c r="G157" s="105" t="s">
        <v>584</v>
      </c>
      <c r="H157" s="105" t="s">
        <v>584</v>
      </c>
      <c r="I157" s="439"/>
    </row>
    <row r="158" spans="1:9">
      <c r="A158" s="106"/>
      <c r="B158" s="107"/>
      <c r="C158" s="108"/>
      <c r="D158" s="109" t="s">
        <v>582</v>
      </c>
      <c r="E158" s="110" t="s">
        <v>583</v>
      </c>
      <c r="F158" s="111"/>
      <c r="G158" s="111" t="s">
        <v>583</v>
      </c>
      <c r="H158" s="111" t="s">
        <v>585</v>
      </c>
      <c r="I158" s="440" t="s">
        <v>465</v>
      </c>
    </row>
    <row r="159" spans="1:9" s="436" customFormat="1" ht="12.75">
      <c r="A159" s="9"/>
      <c r="B159" s="127" t="s">
        <v>507</v>
      </c>
      <c r="C159" s="113"/>
      <c r="D159" s="114"/>
      <c r="E159" s="114"/>
      <c r="F159" s="114"/>
      <c r="G159" s="119"/>
      <c r="H159" s="128"/>
      <c r="I159" s="438"/>
    </row>
    <row r="160" spans="1:9" s="436" customFormat="1" ht="12.75">
      <c r="A160" s="9"/>
      <c r="B160" s="437" t="s">
        <v>469</v>
      </c>
      <c r="C160" s="14" t="s">
        <v>473</v>
      </c>
      <c r="D160" s="2"/>
      <c r="E160" s="2"/>
      <c r="F160" s="118">
        <f>IF(AND(D160&lt;&gt;"",D160&lt;&gt;0),IF(D160&lt;=3,8.25*D160,(8.25*3)+((8.25*0.75)*(D160-3))),8.25)</f>
        <v>8.25</v>
      </c>
      <c r="G160" s="119">
        <f>IF(AND(D160&lt;&gt;"",D160&lt;&gt;0),E160*F160,0)</f>
        <v>0</v>
      </c>
      <c r="H160" s="147">
        <f>G160/15</f>
        <v>0</v>
      </c>
      <c r="I160" s="438"/>
    </row>
    <row r="161" spans="1:9" s="436" customFormat="1" ht="12.75">
      <c r="A161" s="9"/>
      <c r="B161" s="437" t="s">
        <v>470</v>
      </c>
      <c r="C161" s="14" t="s">
        <v>473</v>
      </c>
      <c r="D161" s="2"/>
      <c r="E161" s="2"/>
      <c r="F161" s="118">
        <f>IF(AND(D161&lt;&gt;"",D161&lt;&gt;0),IF(D161&lt;=3,8.25*D161,(8.25*3)+((8.25*0.75)*(D161-3))),8.25)</f>
        <v>8.25</v>
      </c>
      <c r="G161" s="119">
        <f>IF(AND(D161&lt;&gt;"",D161&lt;&gt;0),E161*F161,0)</f>
        <v>0</v>
      </c>
      <c r="H161" s="147">
        <f>G161/15</f>
        <v>0</v>
      </c>
      <c r="I161" s="438"/>
    </row>
    <row r="162" spans="1:9" s="436" customFormat="1" ht="12.75">
      <c r="A162" s="9"/>
      <c r="B162" s="437" t="s">
        <v>471</v>
      </c>
      <c r="C162" s="14" t="s">
        <v>473</v>
      </c>
      <c r="D162" s="2"/>
      <c r="E162" s="2"/>
      <c r="F162" s="119">
        <f>IF(AND(D162&lt;&gt;"",D162&lt;&gt;0),IF(D162&lt;=3,8.25*D162,(8.25*3)+((8.25*0.75)*(D162-3))),8.25)</f>
        <v>8.25</v>
      </c>
      <c r="G162" s="119">
        <f>IF(AND(D162&lt;&gt;"",D162&lt;&gt;0),E162*F162,0)</f>
        <v>0</v>
      </c>
      <c r="H162" s="147">
        <f>G162/15</f>
        <v>0</v>
      </c>
      <c r="I162" s="438"/>
    </row>
    <row r="163" spans="1:9" s="436" customFormat="1" ht="12.75">
      <c r="A163" s="9"/>
      <c r="B163" s="146"/>
      <c r="C163" s="130" t="s">
        <v>462</v>
      </c>
      <c r="D163" s="124"/>
      <c r="E163" s="124"/>
      <c r="F163" s="124"/>
      <c r="G163" s="126">
        <f>SUM(G160:G162)</f>
        <v>0</v>
      </c>
      <c r="H163" s="126">
        <f>SUM(H160:H162)</f>
        <v>0</v>
      </c>
      <c r="I163" s="438"/>
    </row>
    <row r="164" spans="1:9">
      <c r="A164" s="100"/>
      <c r="B164" s="101"/>
      <c r="C164" s="102"/>
      <c r="D164" s="103" t="s">
        <v>581</v>
      </c>
      <c r="E164" s="104" t="s">
        <v>299</v>
      </c>
      <c r="F164" s="105" t="s">
        <v>287</v>
      </c>
      <c r="G164" s="105" t="s">
        <v>584</v>
      </c>
      <c r="H164" s="105" t="s">
        <v>584</v>
      </c>
      <c r="I164" s="439"/>
    </row>
    <row r="165" spans="1:9">
      <c r="A165" s="106"/>
      <c r="B165" s="107"/>
      <c r="C165" s="108"/>
      <c r="D165" s="109" t="s">
        <v>582</v>
      </c>
      <c r="E165" s="110" t="s">
        <v>583</v>
      </c>
      <c r="F165" s="111"/>
      <c r="G165" s="111" t="s">
        <v>583</v>
      </c>
      <c r="H165" s="111" t="s">
        <v>585</v>
      </c>
      <c r="I165" s="440" t="s">
        <v>465</v>
      </c>
    </row>
    <row r="166" spans="1:9" s="436" customFormat="1" ht="12.75">
      <c r="A166" s="9"/>
      <c r="B166" s="127" t="s">
        <v>502</v>
      </c>
      <c r="C166" s="113"/>
      <c r="D166" s="114"/>
      <c r="E166" s="114"/>
      <c r="F166" s="114"/>
      <c r="G166" s="119"/>
      <c r="H166" s="128"/>
      <c r="I166" s="438"/>
    </row>
    <row r="167" spans="1:9" s="436" customFormat="1" ht="12.75">
      <c r="A167" s="9"/>
      <c r="B167" s="437" t="s">
        <v>469</v>
      </c>
      <c r="C167" s="14" t="s">
        <v>473</v>
      </c>
      <c r="D167" s="2"/>
      <c r="E167" s="2"/>
      <c r="F167" s="118">
        <f>IF(AND(D167&lt;&gt;"",D167&lt;&gt;0),IF(D167&lt;=3,9*D167,(9*3)+((9*0.75)*(D167-3))),9)</f>
        <v>9</v>
      </c>
      <c r="G167" s="119">
        <f>IF(AND(D167&lt;&gt;"",D167&lt;&gt;0),E167*F167,0)</f>
        <v>0</v>
      </c>
      <c r="H167" s="147">
        <f>G167/15</f>
        <v>0</v>
      </c>
      <c r="I167" s="438"/>
    </row>
    <row r="168" spans="1:9" s="436" customFormat="1" ht="12.75">
      <c r="A168" s="9"/>
      <c r="B168" s="437" t="s">
        <v>470</v>
      </c>
      <c r="C168" s="14" t="s">
        <v>473</v>
      </c>
      <c r="D168" s="2"/>
      <c r="E168" s="2"/>
      <c r="F168" s="118">
        <f>IF(AND(D168&lt;&gt;"",D168&lt;&gt;0),IF(D168&lt;=3,9*D168,(9*3)+((9*0.75)*(D168-3))),9)</f>
        <v>9</v>
      </c>
      <c r="G168" s="119">
        <f>IF(AND(D168&lt;&gt;"",D168&lt;&gt;0),E168*F168,0)</f>
        <v>0</v>
      </c>
      <c r="H168" s="147">
        <f>G168/15</f>
        <v>0</v>
      </c>
      <c r="I168" s="438"/>
    </row>
    <row r="169" spans="1:9" s="436" customFormat="1" ht="12.75">
      <c r="A169" s="9"/>
      <c r="B169" s="437" t="s">
        <v>471</v>
      </c>
      <c r="C169" s="14" t="s">
        <v>473</v>
      </c>
      <c r="D169" s="2"/>
      <c r="E169" s="2"/>
      <c r="F169" s="118">
        <f>IF(AND(D169&lt;&gt;"",D169&lt;&gt;0),IF(D169&lt;=3,9*D169,(9*3)+((9*0.75)*(D169-3))),9)</f>
        <v>9</v>
      </c>
      <c r="G169" s="119">
        <f>IF(AND(D169&lt;&gt;"",D169&lt;&gt;0),E169*F169,0)</f>
        <v>0</v>
      </c>
      <c r="H169" s="147">
        <f>G169/15</f>
        <v>0</v>
      </c>
      <c r="I169" s="438"/>
    </row>
    <row r="170" spans="1:9" s="436" customFormat="1" ht="12.75">
      <c r="A170" s="9"/>
      <c r="B170" s="146"/>
      <c r="C170" s="130" t="s">
        <v>462</v>
      </c>
      <c r="D170" s="124"/>
      <c r="E170" s="124"/>
      <c r="F170" s="124"/>
      <c r="G170" s="126">
        <f>SUM(G167:G169)</f>
        <v>0</v>
      </c>
      <c r="H170" s="126">
        <f>SUM(H167:H169)</f>
        <v>0</v>
      </c>
      <c r="I170" s="438"/>
    </row>
    <row r="171" spans="1:9" s="436" customFormat="1" ht="21" customHeight="1">
      <c r="A171" s="149"/>
      <c r="B171" s="132"/>
      <c r="C171" s="133"/>
      <c r="D171" s="134"/>
      <c r="E171" s="134"/>
      <c r="F171" s="135" t="s">
        <v>577</v>
      </c>
      <c r="G171" s="137">
        <f>G121+G128+G142+G149+G156+G163+G112+G170+G135</f>
        <v>281.25</v>
      </c>
      <c r="H171" s="137">
        <f>H121+H128+H142+H149+H156+H163+H112+H170+H135</f>
        <v>18.75</v>
      </c>
      <c r="I171" s="438"/>
    </row>
    <row r="172" spans="1:9" ht="24.75" customHeight="1">
      <c r="A172" s="150"/>
      <c r="B172" s="139" t="s">
        <v>588</v>
      </c>
      <c r="C172" s="140"/>
      <c r="D172" s="141"/>
      <c r="E172" s="142"/>
      <c r="F172" s="142"/>
      <c r="G172" s="151"/>
      <c r="H172" s="144"/>
      <c r="I172" s="78"/>
    </row>
    <row r="173" spans="1:9">
      <c r="A173" s="100"/>
      <c r="B173" s="101"/>
      <c r="C173" s="102"/>
      <c r="D173" s="103" t="s">
        <v>581</v>
      </c>
      <c r="E173" s="104" t="s">
        <v>299</v>
      </c>
      <c r="F173" s="105" t="s">
        <v>287</v>
      </c>
      <c r="G173" s="105" t="s">
        <v>584</v>
      </c>
      <c r="H173" s="105" t="s">
        <v>584</v>
      </c>
      <c r="I173" s="439"/>
    </row>
    <row r="174" spans="1:9">
      <c r="A174" s="106"/>
      <c r="B174" s="107"/>
      <c r="C174" s="108"/>
      <c r="D174" s="109" t="s">
        <v>582</v>
      </c>
      <c r="E174" s="110" t="s">
        <v>583</v>
      </c>
      <c r="F174" s="111"/>
      <c r="G174" s="111" t="s">
        <v>583</v>
      </c>
      <c r="H174" s="111" t="s">
        <v>585</v>
      </c>
      <c r="I174" s="440" t="s">
        <v>465</v>
      </c>
    </row>
    <row r="175" spans="1:9" s="436" customFormat="1" ht="12.75">
      <c r="A175" s="9"/>
      <c r="B175" s="127" t="s">
        <v>288</v>
      </c>
      <c r="C175" s="145"/>
      <c r="D175" s="114"/>
      <c r="E175" s="114"/>
      <c r="F175" s="114"/>
      <c r="G175" s="114"/>
      <c r="H175" s="128"/>
    </row>
    <row r="176" spans="1:9" s="436" customFormat="1" ht="12.75">
      <c r="A176" s="9"/>
      <c r="B176" s="437" t="s">
        <v>469</v>
      </c>
      <c r="C176" s="14" t="s">
        <v>473</v>
      </c>
      <c r="D176" s="2"/>
      <c r="E176" s="2"/>
      <c r="F176" s="118">
        <f>IF(AND(D176&lt;&gt;"",D176&lt;&gt;0),IF(D176&lt;=3,1.7*D176,(1.7*3)+((1.7*0.75)*(D176-3))),1.7)</f>
        <v>1.7</v>
      </c>
      <c r="G176" s="119">
        <f>IF(AND(D176&lt;&gt;"",D176&lt;&gt;0),E176*F176,0)</f>
        <v>0</v>
      </c>
      <c r="H176" s="147">
        <f>G176/15</f>
        <v>0</v>
      </c>
    </row>
    <row r="177" spans="1:9" s="436" customFormat="1" ht="12.75">
      <c r="A177" s="9"/>
      <c r="B177" s="437" t="s">
        <v>470</v>
      </c>
      <c r="C177" s="14" t="s">
        <v>473</v>
      </c>
      <c r="D177" s="2"/>
      <c r="E177" s="2"/>
      <c r="F177" s="118">
        <f>IF(AND(D177&lt;&gt;"",D177&lt;&gt;0),IF(D177&lt;=3,1.7*D177,(1.7*3)+((1.7*0.75)*(D177-3))),1.7)</f>
        <v>1.7</v>
      </c>
      <c r="G177" s="119">
        <f>IF(AND(D177&lt;&gt;"",D177&lt;&gt;0),E177*F177,0)</f>
        <v>0</v>
      </c>
      <c r="H177" s="147">
        <f>G177/15</f>
        <v>0</v>
      </c>
    </row>
    <row r="178" spans="1:9" s="436" customFormat="1" ht="12.75">
      <c r="A178" s="9"/>
      <c r="B178" s="437" t="s">
        <v>471</v>
      </c>
      <c r="C178" s="14" t="s">
        <v>473</v>
      </c>
      <c r="D178" s="2"/>
      <c r="E178" s="2"/>
      <c r="F178" s="118">
        <f>IF(AND(D178&lt;&gt;"",D178&lt;&gt;0),IF(D178&lt;=3,1.7*D178,(1.7*3)+((1.7*0.75)*(D178-3))),1.7)</f>
        <v>1.7</v>
      </c>
      <c r="G178" s="119">
        <f>IF(AND(D178&lt;&gt;"",D178&lt;&gt;0),E178*F178,0)</f>
        <v>0</v>
      </c>
      <c r="H178" s="147">
        <f>G178/15</f>
        <v>0</v>
      </c>
    </row>
    <row r="179" spans="1:9" s="436" customFormat="1" ht="12.75">
      <c r="A179" s="9"/>
      <c r="B179" s="437" t="s">
        <v>472</v>
      </c>
      <c r="C179" s="14" t="s">
        <v>473</v>
      </c>
      <c r="D179" s="2"/>
      <c r="E179" s="2"/>
      <c r="F179" s="118">
        <f>IF(AND(D179&lt;&gt;"",D179&lt;&gt;0),IF(D179&lt;=3,1.7*D179,(1.7*3)+((1.7*0.75)*(D179-3))),1.7)</f>
        <v>1.7</v>
      </c>
      <c r="G179" s="119">
        <f>IF(AND(D179&lt;&gt;"",D179&lt;&gt;0),E179*F179,0)</f>
        <v>0</v>
      </c>
      <c r="H179" s="147">
        <f>G179/15</f>
        <v>0</v>
      </c>
    </row>
    <row r="180" spans="1:9" s="436" customFormat="1" ht="12.75">
      <c r="A180" s="9"/>
      <c r="B180" s="437" t="s">
        <v>493</v>
      </c>
      <c r="C180" s="14" t="s">
        <v>473</v>
      </c>
      <c r="D180" s="2"/>
      <c r="E180" s="2"/>
      <c r="F180" s="118">
        <f>IF(AND(D180&lt;&gt;"",D180&lt;&gt;0),IF(D180&lt;=3,1.7*D180,(1.7*3)+((1.7*0.75)*(D180-3))),1.7)</f>
        <v>1.7</v>
      </c>
      <c r="G180" s="119">
        <f>IF(AND(D180&lt;&gt;"",D180&lt;&gt;0),E180*F180,0)</f>
        <v>0</v>
      </c>
      <c r="H180" s="147">
        <f>G180/15</f>
        <v>0</v>
      </c>
    </row>
    <row r="181" spans="1:9" s="436" customFormat="1" ht="12.75">
      <c r="A181" s="9"/>
      <c r="B181" s="146"/>
      <c r="C181" s="130" t="s">
        <v>462</v>
      </c>
      <c r="D181" s="124"/>
      <c r="E181" s="124"/>
      <c r="F181" s="124"/>
      <c r="G181" s="126">
        <f>SUM(G176:G180)</f>
        <v>0</v>
      </c>
      <c r="H181" s="126">
        <f>SUM(H176:H180)</f>
        <v>0</v>
      </c>
    </row>
    <row r="182" spans="1:9">
      <c r="A182" s="100"/>
      <c r="B182" s="101"/>
      <c r="C182" s="102"/>
      <c r="D182" s="103" t="s">
        <v>581</v>
      </c>
      <c r="E182" s="104" t="s">
        <v>299</v>
      </c>
      <c r="F182" s="105" t="s">
        <v>287</v>
      </c>
      <c r="G182" s="105" t="s">
        <v>584</v>
      </c>
      <c r="H182" s="105" t="s">
        <v>584</v>
      </c>
      <c r="I182" s="439"/>
    </row>
    <row r="183" spans="1:9">
      <c r="A183" s="106"/>
      <c r="B183" s="107"/>
      <c r="C183" s="108"/>
      <c r="D183" s="109" t="s">
        <v>582</v>
      </c>
      <c r="E183" s="110" t="s">
        <v>583</v>
      </c>
      <c r="F183" s="111"/>
      <c r="G183" s="111" t="s">
        <v>583</v>
      </c>
      <c r="H183" s="111" t="s">
        <v>585</v>
      </c>
      <c r="I183" s="440" t="s">
        <v>465</v>
      </c>
    </row>
    <row r="184" spans="1:9" s="436" customFormat="1" ht="12.75">
      <c r="A184" s="9"/>
      <c r="B184" s="127" t="s">
        <v>335</v>
      </c>
      <c r="C184" s="145"/>
      <c r="D184" s="114"/>
      <c r="E184" s="114"/>
      <c r="F184" s="114"/>
      <c r="G184" s="114"/>
      <c r="H184" s="128"/>
    </row>
    <row r="185" spans="1:9" s="436" customFormat="1" ht="12.75">
      <c r="A185" s="9"/>
      <c r="B185" s="437" t="s">
        <v>469</v>
      </c>
      <c r="C185" s="14" t="s">
        <v>1279</v>
      </c>
      <c r="D185" s="2">
        <v>1</v>
      </c>
      <c r="E185" s="2">
        <v>22.5</v>
      </c>
      <c r="F185" s="118">
        <f>IF(AND(D185&lt;&gt;"",D185&lt;&gt;0),IF(D185&lt;=3,1.7*D185,(1.7*3)+((1.7*0.75)*(D185-3))),1.7)</f>
        <v>1.7</v>
      </c>
      <c r="G185" s="119">
        <f>IF(AND(D185&lt;&gt;"",D185&lt;&gt;0),E185*F185,0)</f>
        <v>38.25</v>
      </c>
      <c r="H185" s="147">
        <f>G185/15</f>
        <v>2.5499999999999998</v>
      </c>
    </row>
    <row r="186" spans="1:9" s="436" customFormat="1" ht="12.75">
      <c r="A186" s="9"/>
      <c r="B186" s="437" t="s">
        <v>470</v>
      </c>
      <c r="C186" s="14" t="s">
        <v>1280</v>
      </c>
      <c r="D186" s="2">
        <v>1</v>
      </c>
      <c r="E186" s="2">
        <v>27</v>
      </c>
      <c r="F186" s="118">
        <f>IF(AND(D186&lt;&gt;"",D186&lt;&gt;0),IF(D186&lt;=3,1.7*D186,(1.7*3)+((1.7*0.75)*(D186-3))),1.7)</f>
        <v>1.7</v>
      </c>
      <c r="G186" s="119">
        <f>IF(AND(D186&lt;&gt;"",D186&lt;&gt;0),E186*F186,0)</f>
        <v>45.9</v>
      </c>
      <c r="H186" s="147">
        <f>G186/15</f>
        <v>3.06</v>
      </c>
    </row>
    <row r="187" spans="1:9" s="436" customFormat="1" ht="12.75">
      <c r="A187" s="9"/>
      <c r="B187" s="437" t="s">
        <v>471</v>
      </c>
      <c r="C187" s="14" t="s">
        <v>473</v>
      </c>
      <c r="D187" s="2"/>
      <c r="E187" s="2"/>
      <c r="F187" s="118">
        <f>IF(AND(D187&lt;&gt;"",D187&lt;&gt;0),IF(D187&lt;=3,1.7*D187,(1.7*3)+((1.7*0.75)*(D187-3))),1.7)</f>
        <v>1.7</v>
      </c>
      <c r="G187" s="119">
        <f>IF(AND(D187&lt;&gt;"",D187&lt;&gt;0),E187*F187,0)</f>
        <v>0</v>
      </c>
      <c r="H187" s="147">
        <f>G187/15</f>
        <v>0</v>
      </c>
    </row>
    <row r="188" spans="1:9" s="436" customFormat="1" ht="12.75">
      <c r="A188" s="9"/>
      <c r="B188" s="437" t="s">
        <v>472</v>
      </c>
      <c r="C188" s="14" t="s">
        <v>473</v>
      </c>
      <c r="D188" s="2"/>
      <c r="E188" s="2"/>
      <c r="F188" s="118">
        <f>IF(AND(D188&lt;&gt;"",D188&lt;&gt;0),IF(D188&lt;=3,1.7*D188,(1.7*3)+((1.7*0.75)*(D188-3))),1.7)</f>
        <v>1.7</v>
      </c>
      <c r="G188" s="119">
        <f>IF(AND(D188&lt;&gt;"",D188&lt;&gt;0),E188*F188,0)</f>
        <v>0</v>
      </c>
      <c r="H188" s="147">
        <f>G188/15</f>
        <v>0</v>
      </c>
    </row>
    <row r="189" spans="1:9" s="436" customFormat="1" ht="12.75">
      <c r="A189" s="9"/>
      <c r="B189" s="437" t="s">
        <v>493</v>
      </c>
      <c r="C189" s="14" t="s">
        <v>473</v>
      </c>
      <c r="D189" s="2"/>
      <c r="E189" s="2"/>
      <c r="F189" s="118">
        <f>IF(AND(D189&lt;&gt;"",D189&lt;&gt;0),IF(D189&lt;=3,1.7*D189,(1.7*3)+((1.7*0.75)*(D189-3))),1.7)</f>
        <v>1.7</v>
      </c>
      <c r="G189" s="119">
        <f>IF(AND(D189&lt;&gt;"",D189&lt;&gt;0),E189*F189,0)</f>
        <v>0</v>
      </c>
      <c r="H189" s="147">
        <f>G189/15</f>
        <v>0</v>
      </c>
    </row>
    <row r="190" spans="1:9" s="436" customFormat="1" ht="12.75">
      <c r="A190" s="9"/>
      <c r="B190" s="146"/>
      <c r="C190" s="130" t="s">
        <v>462</v>
      </c>
      <c r="D190" s="124"/>
      <c r="E190" s="124"/>
      <c r="F190" s="124"/>
      <c r="G190" s="126">
        <f>SUM(G185:G189)</f>
        <v>84.15</v>
      </c>
      <c r="H190" s="126">
        <f>SUM(H185:H189)</f>
        <v>5.6099999999999994</v>
      </c>
    </row>
    <row r="191" spans="1:9" s="436" customFormat="1" ht="21" customHeight="1">
      <c r="A191" s="131"/>
      <c r="B191" s="132"/>
      <c r="C191" s="133"/>
      <c r="D191" s="134"/>
      <c r="E191" s="134"/>
      <c r="F191" s="455" t="s">
        <v>578</v>
      </c>
      <c r="G191" s="180">
        <f>G181+G190</f>
        <v>84.15</v>
      </c>
      <c r="H191" s="180">
        <f>H181+H190</f>
        <v>5.6099999999999994</v>
      </c>
    </row>
    <row r="192" spans="1:9" ht="21" customHeight="1">
      <c r="A192" s="86">
        <v>1.2</v>
      </c>
      <c r="B192" s="87" t="s">
        <v>589</v>
      </c>
      <c r="C192" s="88"/>
      <c r="D192" s="89"/>
      <c r="E192" s="90"/>
      <c r="F192" s="90"/>
      <c r="G192" s="91"/>
      <c r="H192" s="92"/>
      <c r="I192" s="78"/>
    </row>
    <row r="193" spans="1:9">
      <c r="A193" s="100"/>
      <c r="B193" s="101"/>
      <c r="C193" s="102"/>
      <c r="D193" s="103" t="s">
        <v>581</v>
      </c>
      <c r="E193" s="104" t="s">
        <v>299</v>
      </c>
      <c r="F193" s="105" t="s">
        <v>287</v>
      </c>
      <c r="G193" s="105" t="s">
        <v>584</v>
      </c>
      <c r="H193" s="105" t="s">
        <v>584</v>
      </c>
      <c r="I193" s="439"/>
    </row>
    <row r="194" spans="1:9">
      <c r="A194" s="106"/>
      <c r="B194" s="107"/>
      <c r="C194" s="108"/>
      <c r="D194" s="109" t="s">
        <v>582</v>
      </c>
      <c r="E194" s="110" t="s">
        <v>583</v>
      </c>
      <c r="F194" s="111"/>
      <c r="G194" s="111" t="s">
        <v>583</v>
      </c>
      <c r="H194" s="111" t="s">
        <v>585</v>
      </c>
      <c r="I194" s="440" t="s">
        <v>465</v>
      </c>
    </row>
    <row r="195" spans="1:9" s="384" customFormat="1" ht="12.75">
      <c r="A195" s="152"/>
      <c r="B195" s="153" t="s">
        <v>480</v>
      </c>
      <c r="C195" s="154"/>
      <c r="D195" s="155"/>
      <c r="E195" s="155"/>
      <c r="F195" s="155"/>
      <c r="G195" s="155"/>
      <c r="H195" s="156"/>
    </row>
    <row r="196" spans="1:9" s="384" customFormat="1" ht="12.75">
      <c r="A196" s="152"/>
      <c r="B196" s="443" t="s">
        <v>469</v>
      </c>
      <c r="C196" s="18" t="s">
        <v>473</v>
      </c>
      <c r="D196" s="71"/>
      <c r="E196" s="2"/>
      <c r="F196" s="157">
        <v>4.5</v>
      </c>
      <c r="G196" s="158">
        <f>D196*E196*F196</f>
        <v>0</v>
      </c>
      <c r="H196" s="159">
        <f>G196/15</f>
        <v>0</v>
      </c>
    </row>
    <row r="197" spans="1:9" s="384" customFormat="1" ht="12.75">
      <c r="A197" s="152"/>
      <c r="B197" s="443" t="s">
        <v>470</v>
      </c>
      <c r="C197" s="18" t="s">
        <v>473</v>
      </c>
      <c r="D197" s="71"/>
      <c r="E197" s="2"/>
      <c r="F197" s="157">
        <v>4.5</v>
      </c>
      <c r="G197" s="158">
        <f>D197*E197*F197</f>
        <v>0</v>
      </c>
      <c r="H197" s="159">
        <f>G197/15</f>
        <v>0</v>
      </c>
    </row>
    <row r="198" spans="1:9" s="384" customFormat="1" ht="12.75">
      <c r="A198" s="152"/>
      <c r="B198" s="443" t="s">
        <v>471</v>
      </c>
      <c r="C198" s="18" t="s">
        <v>473</v>
      </c>
      <c r="D198" s="71"/>
      <c r="E198" s="2"/>
      <c r="F198" s="157">
        <v>4.5</v>
      </c>
      <c r="G198" s="158">
        <f>D198*E198*F198</f>
        <v>0</v>
      </c>
      <c r="H198" s="159">
        <f>G198/15</f>
        <v>0</v>
      </c>
    </row>
    <row r="199" spans="1:9" s="384" customFormat="1" ht="12.75">
      <c r="A199" s="152"/>
      <c r="B199" s="146"/>
      <c r="C199" s="130" t="s">
        <v>462</v>
      </c>
      <c r="D199" s="124"/>
      <c r="E199" s="124"/>
      <c r="F199" s="125"/>
      <c r="G199" s="126">
        <f>SUM(G196:G198)</f>
        <v>0</v>
      </c>
      <c r="H199" s="126">
        <f>SUM(H196:H198)</f>
        <v>0</v>
      </c>
    </row>
    <row r="200" spans="1:9" s="384" customFormat="1" ht="21" customHeight="1">
      <c r="A200" s="160"/>
      <c r="B200" s="161"/>
      <c r="C200" s="162"/>
      <c r="D200" s="163"/>
      <c r="E200" s="163"/>
      <c r="F200" s="164" t="s">
        <v>590</v>
      </c>
      <c r="G200" s="165">
        <f>G199</f>
        <v>0</v>
      </c>
      <c r="H200" s="165">
        <f>H199</f>
        <v>0</v>
      </c>
    </row>
    <row r="201" spans="1:9" s="444" customFormat="1">
      <c r="A201" s="166" t="s">
        <v>468</v>
      </c>
      <c r="B201" s="167"/>
      <c r="C201" s="168"/>
      <c r="D201" s="169" t="s">
        <v>581</v>
      </c>
      <c r="E201" s="170" t="s">
        <v>299</v>
      </c>
      <c r="F201" s="171" t="s">
        <v>287</v>
      </c>
      <c r="G201" s="171" t="s">
        <v>584</v>
      </c>
      <c r="H201" s="171" t="s">
        <v>584</v>
      </c>
    </row>
    <row r="202" spans="1:9" s="444" customFormat="1">
      <c r="A202" s="172"/>
      <c r="B202" s="173"/>
      <c r="C202" s="174"/>
      <c r="D202" s="175" t="s">
        <v>582</v>
      </c>
      <c r="E202" s="176" t="s">
        <v>583</v>
      </c>
      <c r="F202" s="177"/>
      <c r="G202" s="177" t="s">
        <v>583</v>
      </c>
      <c r="H202" s="177" t="s">
        <v>585</v>
      </c>
      <c r="I202" s="445" t="s">
        <v>465</v>
      </c>
    </row>
    <row r="203" spans="1:9" s="384" customFormat="1" ht="12.75">
      <c r="A203" s="152"/>
      <c r="B203" s="153" t="s">
        <v>339</v>
      </c>
      <c r="C203" s="178"/>
      <c r="D203" s="155"/>
      <c r="E203" s="155"/>
      <c r="F203" s="155"/>
      <c r="G203" s="155"/>
      <c r="H203" s="156"/>
    </row>
    <row r="204" spans="1:9" s="384" customFormat="1" ht="12.75">
      <c r="A204" s="152"/>
      <c r="B204" s="443" t="s">
        <v>469</v>
      </c>
      <c r="C204" s="18" t="s">
        <v>473</v>
      </c>
      <c r="D204" s="71"/>
      <c r="E204" s="2"/>
      <c r="F204" s="157">
        <v>1.7</v>
      </c>
      <c r="G204" s="158">
        <f>D204*E204*F204</f>
        <v>0</v>
      </c>
      <c r="H204" s="159">
        <f>G204/15</f>
        <v>0</v>
      </c>
    </row>
    <row r="205" spans="1:9" s="384" customFormat="1" ht="12.75">
      <c r="A205" s="152"/>
      <c r="B205" s="443" t="s">
        <v>470</v>
      </c>
      <c r="C205" s="18" t="s">
        <v>473</v>
      </c>
      <c r="D205" s="71"/>
      <c r="E205" s="2"/>
      <c r="F205" s="157">
        <v>1.7</v>
      </c>
      <c r="G205" s="158">
        <f>D205*E205*F205</f>
        <v>0</v>
      </c>
      <c r="H205" s="159">
        <f>G205/15</f>
        <v>0</v>
      </c>
    </row>
    <row r="206" spans="1:9" s="384" customFormat="1" ht="12.75">
      <c r="A206" s="152"/>
      <c r="B206" s="443" t="s">
        <v>471</v>
      </c>
      <c r="C206" s="18" t="s">
        <v>473</v>
      </c>
      <c r="D206" s="71"/>
      <c r="E206" s="2"/>
      <c r="F206" s="157">
        <v>1.7</v>
      </c>
      <c r="G206" s="158">
        <f>D206*E206*F206</f>
        <v>0</v>
      </c>
      <c r="H206" s="159">
        <f>G206/15</f>
        <v>0</v>
      </c>
    </row>
    <row r="207" spans="1:9" s="384" customFormat="1" ht="12.75">
      <c r="A207" s="179"/>
      <c r="B207" s="146"/>
      <c r="C207" s="130" t="s">
        <v>462</v>
      </c>
      <c r="D207" s="124"/>
      <c r="E207" s="124"/>
      <c r="F207" s="124"/>
      <c r="G207" s="126">
        <f>SUM(G204:G206)</f>
        <v>0</v>
      </c>
      <c r="H207" s="126">
        <f>SUM(H204:H206)</f>
        <v>0</v>
      </c>
    </row>
    <row r="208" spans="1:9" s="384" customFormat="1" ht="12.75">
      <c r="A208" s="152"/>
      <c r="B208" s="153" t="s">
        <v>340</v>
      </c>
      <c r="C208" s="178"/>
      <c r="D208" s="155"/>
      <c r="E208" s="155"/>
      <c r="F208" s="155"/>
      <c r="G208" s="155"/>
      <c r="H208" s="156"/>
    </row>
    <row r="209" spans="1:9" s="384" customFormat="1" ht="12.75">
      <c r="A209" s="152"/>
      <c r="B209" s="443" t="s">
        <v>469</v>
      </c>
      <c r="C209" s="18" t="s">
        <v>473</v>
      </c>
      <c r="D209" s="71"/>
      <c r="E209" s="2"/>
      <c r="F209" s="157">
        <v>1.7</v>
      </c>
      <c r="G209" s="158">
        <f>D209*E209*F209</f>
        <v>0</v>
      </c>
      <c r="H209" s="159">
        <f>G209/15</f>
        <v>0</v>
      </c>
    </row>
    <row r="210" spans="1:9" s="384" customFormat="1" ht="12.75">
      <c r="A210" s="152"/>
      <c r="B210" s="443" t="s">
        <v>470</v>
      </c>
      <c r="C210" s="18" t="s">
        <v>473</v>
      </c>
      <c r="D210" s="71"/>
      <c r="E210" s="2"/>
      <c r="F210" s="157">
        <v>1.7</v>
      </c>
      <c r="G210" s="158">
        <f>D210*E210*F210</f>
        <v>0</v>
      </c>
      <c r="H210" s="159">
        <f>G210/15</f>
        <v>0</v>
      </c>
    </row>
    <row r="211" spans="1:9" s="384" customFormat="1" ht="12.75">
      <c r="A211" s="152"/>
      <c r="B211" s="443" t="s">
        <v>471</v>
      </c>
      <c r="C211" s="18" t="s">
        <v>473</v>
      </c>
      <c r="D211" s="71"/>
      <c r="E211" s="2"/>
      <c r="F211" s="157">
        <v>1.7</v>
      </c>
      <c r="G211" s="158">
        <f>D211*E211*F211</f>
        <v>0</v>
      </c>
      <c r="H211" s="159">
        <f>G211/15</f>
        <v>0</v>
      </c>
    </row>
    <row r="212" spans="1:9" s="384" customFormat="1" ht="12.75">
      <c r="A212" s="152"/>
      <c r="B212" s="146"/>
      <c r="C212" s="130" t="s">
        <v>462</v>
      </c>
      <c r="D212" s="124"/>
      <c r="E212" s="124"/>
      <c r="F212" s="124"/>
      <c r="G212" s="126">
        <f>SUM(G209:G211)</f>
        <v>0</v>
      </c>
      <c r="H212" s="126">
        <f>SUM(H209:H211)</f>
        <v>0</v>
      </c>
    </row>
    <row r="213" spans="1:9" s="436" customFormat="1" ht="21" customHeight="1">
      <c r="A213" s="149"/>
      <c r="B213" s="132"/>
      <c r="C213" s="133"/>
      <c r="D213" s="134"/>
      <c r="E213" s="134"/>
      <c r="F213" s="135" t="s">
        <v>591</v>
      </c>
      <c r="G213" s="180">
        <f>G207+G212</f>
        <v>0</v>
      </c>
      <c r="H213" s="180">
        <f>H207+H212</f>
        <v>0</v>
      </c>
    </row>
    <row r="214" spans="1:9" ht="23.25" customHeight="1">
      <c r="A214" s="86">
        <v>1.3</v>
      </c>
      <c r="B214" s="181" t="s">
        <v>508</v>
      </c>
      <c r="C214" s="182"/>
      <c r="D214" s="89"/>
      <c r="E214" s="89"/>
      <c r="F214" s="89"/>
      <c r="G214" s="89"/>
      <c r="H214" s="183"/>
    </row>
    <row r="215" spans="1:9">
      <c r="A215" s="100"/>
      <c r="B215" s="101"/>
      <c r="C215" s="102"/>
      <c r="D215" s="103" t="s">
        <v>581</v>
      </c>
      <c r="E215" s="104" t="s">
        <v>299</v>
      </c>
      <c r="F215" s="105" t="s">
        <v>287</v>
      </c>
      <c r="G215" s="105" t="s">
        <v>584</v>
      </c>
      <c r="H215" s="105" t="s">
        <v>584</v>
      </c>
      <c r="I215" s="439"/>
    </row>
    <row r="216" spans="1:9">
      <c r="A216" s="106"/>
      <c r="B216" s="107"/>
      <c r="C216" s="108"/>
      <c r="D216" s="109" t="s">
        <v>582</v>
      </c>
      <c r="E216" s="110" t="s">
        <v>583</v>
      </c>
      <c r="F216" s="111"/>
      <c r="G216" s="111" t="s">
        <v>583</v>
      </c>
      <c r="H216" s="111" t="s">
        <v>585</v>
      </c>
      <c r="I216" s="440" t="s">
        <v>465</v>
      </c>
    </row>
    <row r="217" spans="1:9" s="436" customFormat="1" ht="12.75">
      <c r="A217" s="9"/>
      <c r="B217" s="446" t="s">
        <v>469</v>
      </c>
      <c r="C217" s="16" t="s">
        <v>509</v>
      </c>
      <c r="D217" s="3"/>
      <c r="E217" s="2"/>
      <c r="F217" s="184">
        <v>0.3</v>
      </c>
      <c r="G217" s="185">
        <f>D217*E217*F217</f>
        <v>0</v>
      </c>
      <c r="H217" s="186">
        <f>G217/15</f>
        <v>0</v>
      </c>
    </row>
    <row r="218" spans="1:9" s="436" customFormat="1" ht="12.75">
      <c r="A218" s="9"/>
      <c r="B218" s="447" t="s">
        <v>470</v>
      </c>
      <c r="C218" s="17" t="s">
        <v>509</v>
      </c>
      <c r="D218" s="2"/>
      <c r="E218" s="2"/>
      <c r="F218" s="118">
        <v>0.3</v>
      </c>
      <c r="G218" s="119">
        <f>D218*E218*F218</f>
        <v>0</v>
      </c>
      <c r="H218" s="147">
        <f>G218/15</f>
        <v>0</v>
      </c>
    </row>
    <row r="219" spans="1:9" s="436" customFormat="1" ht="12.75">
      <c r="A219" s="9"/>
      <c r="B219" s="447" t="s">
        <v>471</v>
      </c>
      <c r="C219" s="17" t="s">
        <v>509</v>
      </c>
      <c r="D219" s="2"/>
      <c r="E219" s="2"/>
      <c r="F219" s="118">
        <v>0.3</v>
      </c>
      <c r="G219" s="119">
        <f>D219*E219*F219</f>
        <v>0</v>
      </c>
      <c r="H219" s="147">
        <f>G219/15</f>
        <v>0</v>
      </c>
    </row>
    <row r="220" spans="1:9" s="436" customFormat="1" ht="12.75">
      <c r="A220" s="9"/>
      <c r="B220" s="146"/>
      <c r="C220" s="122" t="s">
        <v>462</v>
      </c>
      <c r="D220" s="124"/>
      <c r="E220" s="124"/>
      <c r="F220" s="124"/>
      <c r="G220" s="126">
        <f>SUM(G217:G219)</f>
        <v>0</v>
      </c>
      <c r="H220" s="126">
        <f>SUM(H217:H219)</f>
        <v>0</v>
      </c>
    </row>
    <row r="221" spans="1:9" ht="23.25" customHeight="1">
      <c r="A221" s="86">
        <v>1.4</v>
      </c>
      <c r="B221" s="87" t="s">
        <v>510</v>
      </c>
      <c r="C221" s="88"/>
      <c r="D221" s="89"/>
      <c r="E221" s="89"/>
      <c r="F221" s="89"/>
      <c r="G221" s="89"/>
      <c r="H221" s="183"/>
    </row>
    <row r="222" spans="1:9">
      <c r="A222" s="100"/>
      <c r="B222" s="101"/>
      <c r="C222" s="102"/>
      <c r="D222" s="103" t="s">
        <v>581</v>
      </c>
      <c r="E222" s="104" t="s">
        <v>299</v>
      </c>
      <c r="F222" s="105" t="s">
        <v>287</v>
      </c>
      <c r="G222" s="105" t="s">
        <v>584</v>
      </c>
      <c r="H222" s="105" t="s">
        <v>584</v>
      </c>
      <c r="I222" s="439"/>
    </row>
    <row r="223" spans="1:9">
      <c r="A223" s="106"/>
      <c r="B223" s="107"/>
      <c r="C223" s="108"/>
      <c r="D223" s="109" t="s">
        <v>582</v>
      </c>
      <c r="E223" s="110" t="s">
        <v>583</v>
      </c>
      <c r="F223" s="111"/>
      <c r="G223" s="111" t="s">
        <v>583</v>
      </c>
      <c r="H223" s="111" t="s">
        <v>585</v>
      </c>
      <c r="I223" s="440" t="s">
        <v>465</v>
      </c>
    </row>
    <row r="224" spans="1:9" s="436" customFormat="1" ht="12.75">
      <c r="A224" s="9"/>
      <c r="B224" s="447" t="s">
        <v>469</v>
      </c>
      <c r="C224" s="17" t="s">
        <v>473</v>
      </c>
      <c r="D224" s="2"/>
      <c r="E224" s="2"/>
      <c r="F224" s="118">
        <v>4.5</v>
      </c>
      <c r="G224" s="119">
        <f>D224*E224*F224</f>
        <v>0</v>
      </c>
      <c r="H224" s="147">
        <f>G224/15</f>
        <v>0</v>
      </c>
    </row>
    <row r="225" spans="1:9" s="436" customFormat="1" ht="12.75">
      <c r="A225" s="9"/>
      <c r="B225" s="447" t="s">
        <v>470</v>
      </c>
      <c r="C225" s="17" t="s">
        <v>473</v>
      </c>
      <c r="D225" s="2"/>
      <c r="E225" s="2"/>
      <c r="F225" s="118">
        <v>4.5</v>
      </c>
      <c r="G225" s="119">
        <f>D225*E225*F225</f>
        <v>0</v>
      </c>
      <c r="H225" s="147">
        <f>G225/15</f>
        <v>0</v>
      </c>
    </row>
    <row r="226" spans="1:9" s="436" customFormat="1" ht="12.75">
      <c r="A226" s="9"/>
      <c r="B226" s="447" t="s">
        <v>471</v>
      </c>
      <c r="C226" s="17" t="s">
        <v>473</v>
      </c>
      <c r="D226" s="2"/>
      <c r="E226" s="2"/>
      <c r="F226" s="118">
        <v>4.5</v>
      </c>
      <c r="G226" s="119">
        <f>D226*E226*F226</f>
        <v>0</v>
      </c>
      <c r="H226" s="147">
        <f>G226/15</f>
        <v>0</v>
      </c>
    </row>
    <row r="227" spans="1:9" s="436" customFormat="1" ht="12.75">
      <c r="A227" s="9"/>
      <c r="B227" s="703"/>
      <c r="C227" s="704" t="s">
        <v>462</v>
      </c>
      <c r="D227" s="705"/>
      <c r="E227" s="705"/>
      <c r="F227" s="705"/>
      <c r="G227" s="706">
        <f>SUM(G224:G226)</f>
        <v>0</v>
      </c>
      <c r="H227" s="706">
        <f>SUM(H224:H226)</f>
        <v>0</v>
      </c>
    </row>
    <row r="228" spans="1:9" ht="23.25" customHeight="1">
      <c r="A228" s="86">
        <v>1.5</v>
      </c>
      <c r="B228" s="87" t="s">
        <v>511</v>
      </c>
      <c r="C228" s="88"/>
      <c r="D228" s="89"/>
      <c r="E228" s="89"/>
      <c r="F228" s="89"/>
      <c r="G228" s="89"/>
      <c r="H228" s="183"/>
    </row>
    <row r="229" spans="1:9">
      <c r="A229" s="100"/>
      <c r="B229" s="101"/>
      <c r="C229" s="102"/>
      <c r="D229" s="103" t="s">
        <v>581</v>
      </c>
      <c r="E229" s="104" t="s">
        <v>299</v>
      </c>
      <c r="F229" s="105" t="s">
        <v>287</v>
      </c>
      <c r="G229" s="105" t="s">
        <v>584</v>
      </c>
      <c r="H229" s="105" t="s">
        <v>584</v>
      </c>
      <c r="I229" s="439"/>
    </row>
    <row r="230" spans="1:9">
      <c r="A230" s="106"/>
      <c r="B230" s="107"/>
      <c r="C230" s="108"/>
      <c r="D230" s="109" t="s">
        <v>582</v>
      </c>
      <c r="E230" s="110" t="s">
        <v>583</v>
      </c>
      <c r="F230" s="111"/>
      <c r="G230" s="111" t="s">
        <v>583</v>
      </c>
      <c r="H230" s="111" t="s">
        <v>585</v>
      </c>
      <c r="I230" s="440" t="s">
        <v>465</v>
      </c>
    </row>
    <row r="231" spans="1:9" s="436" customFormat="1" ht="12.75">
      <c r="A231" s="9"/>
      <c r="B231" s="447" t="s">
        <v>469</v>
      </c>
      <c r="C231" s="17" t="s">
        <v>473</v>
      </c>
      <c r="D231" s="2"/>
      <c r="E231" s="2"/>
      <c r="F231" s="118">
        <v>4.5</v>
      </c>
      <c r="G231" s="119">
        <f>D231*E231*F231</f>
        <v>0</v>
      </c>
      <c r="H231" s="147">
        <f>G231/15</f>
        <v>0</v>
      </c>
    </row>
    <row r="232" spans="1:9" s="436" customFormat="1" ht="12.75">
      <c r="A232" s="9"/>
      <c r="B232" s="447" t="s">
        <v>470</v>
      </c>
      <c r="C232" s="17" t="s">
        <v>473</v>
      </c>
      <c r="D232" s="2"/>
      <c r="E232" s="2"/>
      <c r="F232" s="118">
        <v>4.5</v>
      </c>
      <c r="G232" s="119">
        <f>D232*E232*F232</f>
        <v>0</v>
      </c>
      <c r="H232" s="147">
        <f>G232/15</f>
        <v>0</v>
      </c>
    </row>
    <row r="233" spans="1:9" s="436" customFormat="1" ht="12.75">
      <c r="A233" s="9"/>
      <c r="B233" s="447" t="s">
        <v>471</v>
      </c>
      <c r="C233" s="17" t="s">
        <v>473</v>
      </c>
      <c r="D233" s="2"/>
      <c r="E233" s="2"/>
      <c r="F233" s="118">
        <v>4.5</v>
      </c>
      <c r="G233" s="119">
        <f>D233*E233*F233</f>
        <v>0</v>
      </c>
      <c r="H233" s="147">
        <f>G233/15</f>
        <v>0</v>
      </c>
    </row>
    <row r="234" spans="1:9" s="436" customFormat="1" ht="12.75">
      <c r="A234" s="148"/>
      <c r="B234" s="146"/>
      <c r="C234" s="122" t="s">
        <v>462</v>
      </c>
      <c r="D234" s="124"/>
      <c r="E234" s="124"/>
      <c r="F234" s="124"/>
      <c r="G234" s="126">
        <f>SUM(G231:G233)</f>
        <v>0</v>
      </c>
      <c r="H234" s="126">
        <f>SUM(H231:H233)</f>
        <v>0</v>
      </c>
    </row>
    <row r="235" spans="1:9" ht="15">
      <c r="A235" s="95"/>
      <c r="B235" s="140"/>
      <c r="C235" s="187"/>
      <c r="D235" s="188"/>
      <c r="E235" s="188"/>
      <c r="F235" s="188"/>
      <c r="G235" s="188"/>
      <c r="H235" s="189"/>
    </row>
    <row r="236" spans="1:9" ht="15">
      <c r="A236" s="95"/>
      <c r="B236" s="95"/>
      <c r="C236" s="190"/>
      <c r="D236" s="191"/>
      <c r="E236" s="191"/>
      <c r="F236" s="191"/>
      <c r="G236" s="191"/>
      <c r="H236" s="192"/>
    </row>
    <row r="237" spans="1:9" s="448" customFormat="1" ht="18">
      <c r="A237" s="232">
        <v>2</v>
      </c>
      <c r="B237" s="233" t="s">
        <v>336</v>
      </c>
      <c r="C237" s="80"/>
      <c r="D237" s="80"/>
      <c r="E237" s="80"/>
      <c r="F237" s="80"/>
      <c r="G237" s="80"/>
      <c r="H237" s="193"/>
    </row>
    <row r="238" spans="1:9">
      <c r="A238" s="100"/>
      <c r="B238" s="101"/>
      <c r="C238" s="234"/>
      <c r="D238" s="235" t="s">
        <v>581</v>
      </c>
      <c r="E238" s="236" t="s">
        <v>300</v>
      </c>
      <c r="F238" s="105" t="s">
        <v>287</v>
      </c>
      <c r="G238" s="237" t="s">
        <v>584</v>
      </c>
      <c r="H238" s="105" t="s">
        <v>584</v>
      </c>
    </row>
    <row r="239" spans="1:9" ht="14.25" customHeight="1">
      <c r="A239" s="106"/>
      <c r="B239" s="107"/>
      <c r="C239" s="108"/>
      <c r="D239" s="109" t="s">
        <v>594</v>
      </c>
      <c r="E239" s="109" t="s">
        <v>301</v>
      </c>
      <c r="F239" s="111"/>
      <c r="G239" s="111" t="s">
        <v>583</v>
      </c>
      <c r="H239" s="111" t="s">
        <v>585</v>
      </c>
    </row>
    <row r="240" spans="1:9" s="222" customFormat="1" ht="12.75">
      <c r="A240" s="197"/>
      <c r="B240" s="882" t="s">
        <v>291</v>
      </c>
      <c r="C240" s="214"/>
      <c r="D240" s="686"/>
      <c r="E240" s="239" t="s">
        <v>521</v>
      </c>
      <c r="F240" s="204">
        <v>1.5</v>
      </c>
      <c r="G240" s="203">
        <f t="shared" ref="G240:G247" si="6">H240*15</f>
        <v>0</v>
      </c>
      <c r="H240" s="203">
        <f t="shared" ref="H240:H245" si="7">D240*F240</f>
        <v>0</v>
      </c>
    </row>
    <row r="241" spans="1:8" s="222" customFormat="1" ht="12.75" hidden="1">
      <c r="A241" s="197"/>
      <c r="B241" s="198" t="s">
        <v>519</v>
      </c>
      <c r="C241" s="198"/>
      <c r="D241" s="4"/>
      <c r="E241" s="239" t="s">
        <v>521</v>
      </c>
      <c r="F241" s="204">
        <v>1.5</v>
      </c>
      <c r="G241" s="203">
        <f t="shared" si="6"/>
        <v>0</v>
      </c>
      <c r="H241" s="203">
        <f t="shared" si="7"/>
        <v>0</v>
      </c>
    </row>
    <row r="242" spans="1:8" s="222" customFormat="1" ht="12.75" hidden="1">
      <c r="A242" s="197"/>
      <c r="B242" s="198" t="s">
        <v>520</v>
      </c>
      <c r="C242" s="198"/>
      <c r="D242" s="4"/>
      <c r="E242" s="239" t="s">
        <v>521</v>
      </c>
      <c r="F242" s="202">
        <v>1</v>
      </c>
      <c r="G242" s="203">
        <f t="shared" si="6"/>
        <v>0</v>
      </c>
      <c r="H242" s="203">
        <f t="shared" si="7"/>
        <v>0</v>
      </c>
    </row>
    <row r="243" spans="1:8" s="222" customFormat="1" ht="12.75">
      <c r="A243" s="238"/>
      <c r="B243" s="882" t="s">
        <v>292</v>
      </c>
      <c r="C243" s="217"/>
      <c r="D243" s="4"/>
      <c r="E243" s="239" t="s">
        <v>521</v>
      </c>
      <c r="F243" s="203">
        <v>0.75</v>
      </c>
      <c r="G243" s="203">
        <f t="shared" si="6"/>
        <v>0</v>
      </c>
      <c r="H243" s="203">
        <f t="shared" si="7"/>
        <v>0</v>
      </c>
    </row>
    <row r="244" spans="1:8" s="222" customFormat="1" ht="12.75" hidden="1">
      <c r="A244" s="197"/>
      <c r="B244" s="198" t="s">
        <v>519</v>
      </c>
      <c r="C244" s="198"/>
      <c r="D244" s="4"/>
      <c r="E244" s="239" t="s">
        <v>521</v>
      </c>
      <c r="F244" s="203">
        <v>0.75</v>
      </c>
      <c r="G244" s="203">
        <f t="shared" si="6"/>
        <v>0</v>
      </c>
      <c r="H244" s="203">
        <f t="shared" si="7"/>
        <v>0</v>
      </c>
    </row>
    <row r="245" spans="1:8" s="222" customFormat="1" ht="12.75" hidden="1">
      <c r="A245" s="197"/>
      <c r="B245" s="198" t="s">
        <v>520</v>
      </c>
      <c r="C245" s="198"/>
      <c r="D245" s="4"/>
      <c r="E245" s="239" t="s">
        <v>521</v>
      </c>
      <c r="F245" s="204">
        <v>0.5</v>
      </c>
      <c r="G245" s="203">
        <f t="shared" si="6"/>
        <v>0</v>
      </c>
      <c r="H245" s="203">
        <f t="shared" si="7"/>
        <v>0</v>
      </c>
    </row>
    <row r="246" spans="1:8" s="450" customFormat="1" ht="12.75">
      <c r="A246" s="221"/>
      <c r="B246" s="240" t="s">
        <v>293</v>
      </c>
      <c r="C246" s="241"/>
      <c r="D246" s="68"/>
      <c r="E246" s="242" t="s">
        <v>521</v>
      </c>
      <c r="F246" s="243">
        <v>0.5</v>
      </c>
      <c r="G246" s="244">
        <f t="shared" si="6"/>
        <v>0</v>
      </c>
      <c r="H246" s="245">
        <f>F246*D246</f>
        <v>0</v>
      </c>
    </row>
    <row r="247" spans="1:8" s="450" customFormat="1" ht="12.75">
      <c r="A247" s="221"/>
      <c r="B247" s="246" t="s">
        <v>295</v>
      </c>
      <c r="C247" s="247"/>
      <c r="D247" s="248" t="s">
        <v>521</v>
      </c>
      <c r="E247" s="710"/>
      <c r="F247" s="203">
        <v>0.25</v>
      </c>
      <c r="G247" s="203">
        <f t="shared" si="6"/>
        <v>0</v>
      </c>
      <c r="H247" s="249">
        <f>F247*E247</f>
        <v>0</v>
      </c>
    </row>
    <row r="248" spans="1:8" s="222" customFormat="1" ht="12.75">
      <c r="A248" s="197"/>
      <c r="B248" s="223"/>
      <c r="C248" s="665" t="s">
        <v>462</v>
      </c>
      <c r="D248" s="224"/>
      <c r="E248" s="224"/>
      <c r="F248" s="224"/>
      <c r="G248" s="225">
        <f>G240+G243+G246+G247</f>
        <v>0</v>
      </c>
      <c r="H248" s="225">
        <f>H240+H243+H246+H247</f>
        <v>0</v>
      </c>
    </row>
    <row r="249" spans="1:8" s="222" customFormat="1" ht="12.75">
      <c r="A249" s="666"/>
      <c r="B249" s="666"/>
      <c r="C249" s="667"/>
      <c r="D249" s="668"/>
      <c r="E249" s="668"/>
      <c r="F249" s="668"/>
      <c r="G249" s="669"/>
      <c r="H249" s="669"/>
    </row>
    <row r="250" spans="1:8" s="222" customFormat="1" ht="12.75">
      <c r="A250" s="661"/>
      <c r="B250" s="661"/>
      <c r="C250" s="662"/>
      <c r="D250" s="663"/>
      <c r="E250" s="663"/>
      <c r="F250" s="663"/>
      <c r="G250" s="664"/>
      <c r="H250" s="664"/>
    </row>
    <row r="251" spans="1:8" s="448" customFormat="1" ht="18">
      <c r="A251" s="79">
        <v>3</v>
      </c>
      <c r="B251" s="80" t="s">
        <v>522</v>
      </c>
      <c r="C251" s="80"/>
      <c r="D251" s="80"/>
      <c r="E251" s="80"/>
      <c r="F251" s="80"/>
      <c r="G251" s="80"/>
      <c r="H251" s="193"/>
    </row>
    <row r="252" spans="1:8">
      <c r="A252" s="100"/>
      <c r="B252" s="101"/>
      <c r="C252" s="101"/>
      <c r="D252" s="102"/>
      <c r="E252" s="235" t="s">
        <v>581</v>
      </c>
      <c r="F252" s="105" t="s">
        <v>287</v>
      </c>
      <c r="G252" s="237" t="s">
        <v>584</v>
      </c>
      <c r="H252" s="105" t="s">
        <v>584</v>
      </c>
    </row>
    <row r="253" spans="1:8">
      <c r="A253" s="106"/>
      <c r="B253" s="107"/>
      <c r="C253" s="196"/>
      <c r="D253" s="108"/>
      <c r="E253" s="109" t="s">
        <v>594</v>
      </c>
      <c r="F253" s="111"/>
      <c r="G253" s="111" t="s">
        <v>583</v>
      </c>
      <c r="H253" s="111" t="s">
        <v>585</v>
      </c>
    </row>
    <row r="254" spans="1:8" s="450" customFormat="1" ht="12.75">
      <c r="A254" s="221"/>
      <c r="B254" s="251" t="s">
        <v>294</v>
      </c>
      <c r="C254" s="252"/>
      <c r="D254" s="253"/>
      <c r="E254" s="6"/>
      <c r="F254" s="218">
        <v>1</v>
      </c>
      <c r="G254" s="244">
        <f>E254*F254</f>
        <v>0</v>
      </c>
      <c r="H254" s="254">
        <f>G254/15</f>
        <v>0</v>
      </c>
    </row>
    <row r="255" spans="1:8" s="450" customFormat="1" ht="12.75">
      <c r="A255" s="221"/>
      <c r="B255" s="255" t="s">
        <v>515</v>
      </c>
      <c r="C255" s="252"/>
      <c r="D255" s="253"/>
      <c r="E255" s="7"/>
      <c r="F255" s="203">
        <v>0.25</v>
      </c>
      <c r="G255" s="244">
        <f>E255*F255</f>
        <v>0</v>
      </c>
      <c r="H255" s="254">
        <f>G255/15</f>
        <v>0</v>
      </c>
    </row>
    <row r="256" spans="1:8" s="450" customFormat="1" ht="12.75">
      <c r="A256" s="221"/>
      <c r="B256" s="256" t="s">
        <v>293</v>
      </c>
      <c r="C256" s="252"/>
      <c r="D256" s="253"/>
      <c r="E256" s="7"/>
      <c r="F256" s="203">
        <v>0.25</v>
      </c>
      <c r="G256" s="73">
        <f>E256*F256</f>
        <v>0</v>
      </c>
      <c r="H256" s="254">
        <f>G256/15</f>
        <v>0</v>
      </c>
    </row>
    <row r="257" spans="1:8" s="222" customFormat="1" ht="12.75">
      <c r="A257" s="197"/>
      <c r="B257" s="205"/>
      <c r="C257" s="206"/>
      <c r="D257" s="206" t="s">
        <v>462</v>
      </c>
      <c r="E257" s="207"/>
      <c r="F257" s="207"/>
      <c r="G257" s="208">
        <f>SUM(G254:G256)</f>
        <v>0</v>
      </c>
      <c r="H257" s="208">
        <f>SUM(H254:H256)</f>
        <v>0</v>
      </c>
    </row>
    <row r="258" spans="1:8" s="451" customFormat="1">
      <c r="A258" s="226"/>
      <c r="B258" s="226"/>
      <c r="C258" s="227"/>
      <c r="D258" s="226"/>
      <c r="E258" s="228"/>
      <c r="F258" s="228"/>
      <c r="G258" s="226"/>
      <c r="H258" s="226"/>
    </row>
    <row r="259" spans="1:8" s="451" customFormat="1">
      <c r="A259" s="229"/>
      <c r="B259" s="229"/>
      <c r="C259" s="230"/>
      <c r="D259" s="229"/>
      <c r="E259" s="231"/>
      <c r="F259" s="231"/>
      <c r="G259" s="229"/>
      <c r="H259" s="229"/>
    </row>
    <row r="260" spans="1:8" s="448" customFormat="1" ht="18">
      <c r="A260" s="79">
        <v>4</v>
      </c>
      <c r="B260" s="80" t="s">
        <v>337</v>
      </c>
      <c r="C260" s="80"/>
      <c r="D260" s="80"/>
      <c r="E260" s="80"/>
      <c r="F260" s="80"/>
      <c r="G260" s="80"/>
      <c r="H260" s="193"/>
    </row>
    <row r="261" spans="1:8">
      <c r="A261" s="100"/>
      <c r="B261" s="101"/>
      <c r="C261" s="234"/>
      <c r="D261" s="235" t="s">
        <v>581</v>
      </c>
      <c r="E261" s="236" t="s">
        <v>300</v>
      </c>
      <c r="F261" s="237" t="s">
        <v>287</v>
      </c>
      <c r="G261" s="237" t="s">
        <v>584</v>
      </c>
      <c r="H261" s="105" t="s">
        <v>584</v>
      </c>
    </row>
    <row r="262" spans="1:8" ht="14.25" customHeight="1">
      <c r="A262" s="106"/>
      <c r="B262" s="107"/>
      <c r="C262" s="108"/>
      <c r="D262" s="109" t="s">
        <v>594</v>
      </c>
      <c r="E262" s="109" t="s">
        <v>301</v>
      </c>
      <c r="F262" s="111"/>
      <c r="G262" s="111" t="s">
        <v>583</v>
      </c>
      <c r="H262" s="111" t="s">
        <v>585</v>
      </c>
    </row>
    <row r="263" spans="1:8" s="222" customFormat="1" ht="12.75">
      <c r="A263" s="197"/>
      <c r="B263" s="214" t="s">
        <v>401</v>
      </c>
      <c r="C263" s="257"/>
      <c r="D263" s="6"/>
      <c r="E263" s="258" t="s">
        <v>521</v>
      </c>
      <c r="F263" s="218">
        <v>1</v>
      </c>
      <c r="G263" s="203">
        <f>D263*F263*15</f>
        <v>0</v>
      </c>
      <c r="H263" s="203">
        <f>G263/15</f>
        <v>0</v>
      </c>
    </row>
    <row r="264" spans="1:8" s="222" customFormat="1" ht="12.75">
      <c r="A264" s="197"/>
      <c r="B264" s="217" t="s">
        <v>292</v>
      </c>
      <c r="C264" s="259"/>
      <c r="D264" s="7"/>
      <c r="E264" s="258" t="s">
        <v>521</v>
      </c>
      <c r="F264" s="204">
        <v>0.5</v>
      </c>
      <c r="G264" s="203">
        <f>D264*F264*15</f>
        <v>0</v>
      </c>
      <c r="H264" s="203">
        <f>G264/15</f>
        <v>0</v>
      </c>
    </row>
    <row r="265" spans="1:8" s="222" customFormat="1" ht="12.75">
      <c r="A265" s="197"/>
      <c r="B265" s="198" t="s">
        <v>890</v>
      </c>
      <c r="C265" s="260"/>
      <c r="D265" s="258" t="s">
        <v>521</v>
      </c>
      <c r="E265" s="7"/>
      <c r="F265" s="218">
        <v>5</v>
      </c>
      <c r="G265" s="203">
        <f>E265*F265</f>
        <v>0</v>
      </c>
      <c r="H265" s="203">
        <f>G265/15</f>
        <v>0</v>
      </c>
    </row>
    <row r="266" spans="1:8" s="450" customFormat="1" ht="12.75">
      <c r="A266" s="221"/>
      <c r="B266" s="261" t="s">
        <v>293</v>
      </c>
      <c r="C266" s="247"/>
      <c r="D266" s="5"/>
      <c r="E266" s="262" t="s">
        <v>521</v>
      </c>
      <c r="F266" s="248" t="s">
        <v>521</v>
      </c>
      <c r="G266" s="73">
        <f>H266*15</f>
        <v>0</v>
      </c>
      <c r="H266" s="249">
        <f>IF(AND(D266&lt;&gt;0,D266&lt;&gt;""),IF(D266&lt;&gt;"",IF(D266&lt;20,0.5,1),0),0)</f>
        <v>0</v>
      </c>
    </row>
    <row r="267" spans="1:8" s="222" customFormat="1" ht="12.75">
      <c r="A267" s="197"/>
      <c r="B267" s="205"/>
      <c r="C267" s="250" t="s">
        <v>462</v>
      </c>
      <c r="D267" s="207"/>
      <c r="E267" s="207"/>
      <c r="F267" s="207"/>
      <c r="G267" s="208">
        <f>SUM(G263:G266)</f>
        <v>0</v>
      </c>
      <c r="H267" s="208">
        <f>SUM(H263:H266)</f>
        <v>0</v>
      </c>
    </row>
    <row r="268" spans="1:8" s="451" customFormat="1">
      <c r="A268" s="226"/>
      <c r="B268" s="226"/>
      <c r="C268" s="227"/>
      <c r="D268" s="226"/>
      <c r="E268" s="228"/>
      <c r="F268" s="228"/>
      <c r="G268" s="226"/>
      <c r="H268" s="226"/>
    </row>
    <row r="269" spans="1:8" s="451" customFormat="1">
      <c r="A269" s="683"/>
      <c r="B269" s="683"/>
      <c r="C269" s="684"/>
      <c r="D269" s="683"/>
      <c r="E269" s="685"/>
      <c r="F269" s="685"/>
      <c r="G269" s="683"/>
      <c r="H269" s="683"/>
    </row>
    <row r="270" spans="1:8" s="448" customFormat="1" ht="18">
      <c r="A270" s="79">
        <v>5</v>
      </c>
      <c r="B270" s="80" t="s">
        <v>338</v>
      </c>
      <c r="C270" s="80"/>
      <c r="D270" s="80"/>
      <c r="E270" s="80"/>
      <c r="F270" s="80"/>
      <c r="G270" s="80"/>
      <c r="H270" s="193"/>
    </row>
    <row r="271" spans="1:8">
      <c r="A271" s="100"/>
      <c r="B271" s="101"/>
      <c r="C271" s="234"/>
      <c r="D271" s="235" t="s">
        <v>581</v>
      </c>
      <c r="E271" s="236" t="s">
        <v>300</v>
      </c>
      <c r="F271" s="237" t="s">
        <v>287</v>
      </c>
      <c r="G271" s="237" t="s">
        <v>584</v>
      </c>
      <c r="H271" s="105" t="s">
        <v>584</v>
      </c>
    </row>
    <row r="272" spans="1:8" ht="12.75" customHeight="1">
      <c r="A272" s="106"/>
      <c r="B272" s="107"/>
      <c r="C272" s="108"/>
      <c r="D272" s="109" t="s">
        <v>594</v>
      </c>
      <c r="E272" s="109" t="s">
        <v>301</v>
      </c>
      <c r="F272" s="111"/>
      <c r="G272" s="111" t="s">
        <v>583</v>
      </c>
      <c r="H272" s="111" t="s">
        <v>585</v>
      </c>
    </row>
    <row r="273" spans="1:9" s="222" customFormat="1" ht="12.75">
      <c r="A273" s="197"/>
      <c r="B273" s="198" t="s">
        <v>891</v>
      </c>
      <c r="C273" s="260"/>
      <c r="D273" s="263" t="s">
        <v>521</v>
      </c>
      <c r="E273" s="4"/>
      <c r="F273" s="218">
        <v>5</v>
      </c>
      <c r="G273" s="203">
        <f>E273*F273</f>
        <v>0</v>
      </c>
      <c r="H273" s="203">
        <f>G273/15</f>
        <v>0</v>
      </c>
    </row>
    <row r="274" spans="1:9" s="450" customFormat="1" ht="12.75">
      <c r="A274" s="221"/>
      <c r="B274" s="261" t="s">
        <v>296</v>
      </c>
      <c r="C274" s="247"/>
      <c r="D274" s="5"/>
      <c r="E274" s="262" t="s">
        <v>521</v>
      </c>
      <c r="F274" s="218">
        <v>0.5</v>
      </c>
      <c r="G274" s="73">
        <f>H274*15</f>
        <v>0</v>
      </c>
      <c r="H274" s="249">
        <f>IF(AND(D274&lt;&gt;"",D274&lt;&gt;0),IF(D274&lt;&gt;"",IF(D274&lt;20,0.5,1),0),0)</f>
        <v>0</v>
      </c>
    </row>
    <row r="275" spans="1:9" s="222" customFormat="1" ht="12.75">
      <c r="A275" s="197"/>
      <c r="B275" s="205"/>
      <c r="C275" s="250" t="s">
        <v>462</v>
      </c>
      <c r="D275" s="207"/>
      <c r="E275" s="207"/>
      <c r="F275" s="207"/>
      <c r="G275" s="208">
        <f>SUM(G273:G274)</f>
        <v>0</v>
      </c>
      <c r="H275" s="208">
        <f>SUM(H273:H274)</f>
        <v>0</v>
      </c>
    </row>
    <row r="276" spans="1:9" s="451" customFormat="1">
      <c r="A276" s="226"/>
      <c r="B276" s="226"/>
      <c r="C276" s="227"/>
      <c r="D276" s="226"/>
      <c r="E276" s="228"/>
      <c r="F276" s="228"/>
      <c r="G276" s="226"/>
      <c r="H276" s="226"/>
    </row>
    <row r="277" spans="1:9" s="451" customFormat="1">
      <c r="A277" s="229"/>
      <c r="B277" s="229"/>
      <c r="C277" s="230"/>
      <c r="D277" s="229"/>
      <c r="E277" s="231"/>
      <c r="F277" s="231"/>
      <c r="G277" s="229"/>
      <c r="H277" s="229"/>
    </row>
    <row r="278" spans="1:9" s="448" customFormat="1" ht="18">
      <c r="A278" s="79">
        <v>6</v>
      </c>
      <c r="B278" s="80" t="s">
        <v>595</v>
      </c>
      <c r="C278" s="80"/>
      <c r="D278" s="80"/>
      <c r="E278" s="80"/>
      <c r="F278" s="80"/>
      <c r="G278" s="80"/>
      <c r="H278" s="193"/>
    </row>
    <row r="279" spans="1:9" ht="21" customHeight="1">
      <c r="A279" s="86">
        <v>6.1</v>
      </c>
      <c r="B279" s="87" t="s">
        <v>512</v>
      </c>
      <c r="C279" s="88"/>
      <c r="D279" s="89"/>
      <c r="E279" s="90"/>
      <c r="F279" s="91"/>
      <c r="G279" s="194"/>
      <c r="H279" s="195"/>
      <c r="I279" s="449"/>
    </row>
    <row r="280" spans="1:9">
      <c r="A280" s="100"/>
      <c r="B280" s="101"/>
      <c r="C280" s="101"/>
      <c r="D280" s="103"/>
      <c r="E280" s="103" t="s">
        <v>581</v>
      </c>
      <c r="F280" s="105" t="s">
        <v>287</v>
      </c>
      <c r="G280" s="105" t="s">
        <v>584</v>
      </c>
      <c r="H280" s="105" t="s">
        <v>584</v>
      </c>
    </row>
    <row r="281" spans="1:9">
      <c r="A281" s="106"/>
      <c r="B281" s="107"/>
      <c r="C281" s="196"/>
      <c r="D281" s="109"/>
      <c r="E281" s="109" t="s">
        <v>594</v>
      </c>
      <c r="F281" s="111"/>
      <c r="G281" s="111" t="s">
        <v>583</v>
      </c>
      <c r="H281" s="111" t="s">
        <v>585</v>
      </c>
      <c r="I281" s="78" t="s">
        <v>465</v>
      </c>
    </row>
    <row r="282" spans="1:9" s="222" customFormat="1" ht="12.75">
      <c r="A282" s="197"/>
      <c r="B282" s="679" t="s">
        <v>516</v>
      </c>
      <c r="C282" s="198"/>
      <c r="D282" s="69"/>
      <c r="E282" s="4"/>
      <c r="F282" s="202">
        <v>4</v>
      </c>
      <c r="G282" s="203">
        <f t="shared" ref="G282:G287" si="8">H282*15</f>
        <v>0</v>
      </c>
      <c r="H282" s="203">
        <f t="shared" ref="H282:H287" si="9">F282*E282</f>
        <v>0</v>
      </c>
    </row>
    <row r="283" spans="1:9" s="222" customFormat="1" ht="12.75" hidden="1">
      <c r="A283" s="197"/>
      <c r="B283" s="200" t="s">
        <v>519</v>
      </c>
      <c r="C283" s="201"/>
      <c r="D283" s="70"/>
      <c r="E283" s="4"/>
      <c r="F283" s="202">
        <v>4</v>
      </c>
      <c r="G283" s="203">
        <f t="shared" si="8"/>
        <v>0</v>
      </c>
      <c r="H283" s="203">
        <f t="shared" si="9"/>
        <v>0</v>
      </c>
    </row>
    <row r="284" spans="1:9" s="222" customFormat="1" ht="12.75" hidden="1">
      <c r="A284" s="197"/>
      <c r="B284" s="200" t="s">
        <v>520</v>
      </c>
      <c r="C284" s="201"/>
      <c r="D284" s="70"/>
      <c r="E284" s="4"/>
      <c r="F284" s="202">
        <v>3</v>
      </c>
      <c r="G284" s="203">
        <f t="shared" si="8"/>
        <v>0</v>
      </c>
      <c r="H284" s="203">
        <f t="shared" si="9"/>
        <v>0</v>
      </c>
    </row>
    <row r="285" spans="1:9" s="222" customFormat="1" ht="12.75">
      <c r="A285" s="197"/>
      <c r="B285" s="680" t="s">
        <v>596</v>
      </c>
      <c r="C285" s="201"/>
      <c r="D285" s="70"/>
      <c r="E285" s="4"/>
      <c r="F285" s="202">
        <v>2</v>
      </c>
      <c r="G285" s="203">
        <f t="shared" si="8"/>
        <v>0</v>
      </c>
      <c r="H285" s="203">
        <f t="shared" si="9"/>
        <v>0</v>
      </c>
    </row>
    <row r="286" spans="1:9" s="222" customFormat="1" ht="12.75" hidden="1">
      <c r="A286" s="197"/>
      <c r="B286" s="200" t="s">
        <v>519</v>
      </c>
      <c r="C286" s="201"/>
      <c r="D286" s="70"/>
      <c r="E286" s="199"/>
      <c r="F286" s="202">
        <v>2</v>
      </c>
      <c r="G286" s="203">
        <f t="shared" si="8"/>
        <v>0</v>
      </c>
      <c r="H286" s="203">
        <f t="shared" si="9"/>
        <v>0</v>
      </c>
    </row>
    <row r="287" spans="1:9" s="222" customFormat="1" ht="12.75" hidden="1">
      <c r="A287" s="197"/>
      <c r="B287" s="200" t="s">
        <v>520</v>
      </c>
      <c r="C287" s="201"/>
      <c r="D287" s="70"/>
      <c r="E287" s="199"/>
      <c r="F287" s="204">
        <v>1.5</v>
      </c>
      <c r="G287" s="203">
        <f t="shared" si="8"/>
        <v>0</v>
      </c>
      <c r="H287" s="203">
        <f t="shared" si="9"/>
        <v>0</v>
      </c>
    </row>
    <row r="288" spans="1:9" s="222" customFormat="1" ht="12.75">
      <c r="A288" s="197"/>
      <c r="B288" s="205"/>
      <c r="C288" s="206"/>
      <c r="D288" s="206" t="s">
        <v>462</v>
      </c>
      <c r="E288" s="207"/>
      <c r="F288" s="207"/>
      <c r="G288" s="208">
        <f>G282+G285</f>
        <v>0</v>
      </c>
      <c r="H288" s="208">
        <f>H282+H285</f>
        <v>0</v>
      </c>
    </row>
    <row r="289" spans="1:9" s="448" customFormat="1" ht="21" customHeight="1">
      <c r="A289" s="86">
        <v>6.2</v>
      </c>
      <c r="B289" s="87" t="s">
        <v>513</v>
      </c>
      <c r="C289" s="209"/>
      <c r="D289" s="210"/>
      <c r="E289" s="210"/>
      <c r="F289" s="211"/>
      <c r="G289" s="209"/>
      <c r="H289" s="212"/>
    </row>
    <row r="290" spans="1:9">
      <c r="A290" s="100"/>
      <c r="B290" s="101"/>
      <c r="C290" s="101"/>
      <c r="D290" s="103"/>
      <c r="E290" s="103" t="s">
        <v>581</v>
      </c>
      <c r="F290" s="105" t="s">
        <v>287</v>
      </c>
      <c r="G290" s="105" t="s">
        <v>584</v>
      </c>
      <c r="H290" s="105" t="s">
        <v>584</v>
      </c>
    </row>
    <row r="291" spans="1:9">
      <c r="A291" s="106"/>
      <c r="B291" s="107"/>
      <c r="C291" s="196"/>
      <c r="D291" s="109"/>
      <c r="E291" s="109" t="s">
        <v>594</v>
      </c>
      <c r="F291" s="111"/>
      <c r="G291" s="111" t="s">
        <v>583</v>
      </c>
      <c r="H291" s="111" t="s">
        <v>585</v>
      </c>
      <c r="I291" s="78" t="s">
        <v>465</v>
      </c>
    </row>
    <row r="292" spans="1:9" s="655" customFormat="1" ht="12.75">
      <c r="A292" s="652"/>
      <c r="B292" s="679" t="s">
        <v>597</v>
      </c>
      <c r="C292" s="653"/>
      <c r="D292" s="654"/>
      <c r="E292" s="4"/>
      <c r="F292" s="202">
        <v>2</v>
      </c>
      <c r="G292" s="203">
        <f t="shared" ref="G292:G297" si="10">H292*15</f>
        <v>0</v>
      </c>
      <c r="H292" s="203">
        <f t="shared" ref="H292:H297" si="11">E292*F292</f>
        <v>0</v>
      </c>
    </row>
    <row r="293" spans="1:9" s="655" customFormat="1" ht="12.75" hidden="1">
      <c r="A293" s="652"/>
      <c r="B293" s="198" t="s">
        <v>519</v>
      </c>
      <c r="C293" s="656"/>
      <c r="D293" s="657"/>
      <c r="E293" s="658"/>
      <c r="F293" s="202">
        <v>2</v>
      </c>
      <c r="G293" s="203">
        <f t="shared" si="10"/>
        <v>0</v>
      </c>
      <c r="H293" s="203">
        <f t="shared" si="11"/>
        <v>0</v>
      </c>
    </row>
    <row r="294" spans="1:9" s="655" customFormat="1" ht="12.75" hidden="1">
      <c r="A294" s="652"/>
      <c r="B294" s="198" t="s">
        <v>520</v>
      </c>
      <c r="C294" s="656"/>
      <c r="D294" s="657"/>
      <c r="E294" s="658"/>
      <c r="F294" s="202">
        <v>1.5</v>
      </c>
      <c r="G294" s="203">
        <f t="shared" si="10"/>
        <v>0</v>
      </c>
      <c r="H294" s="203">
        <f t="shared" si="11"/>
        <v>0</v>
      </c>
    </row>
    <row r="295" spans="1:9" s="655" customFormat="1" ht="12.75">
      <c r="A295" s="652"/>
      <c r="B295" s="680" t="s">
        <v>598</v>
      </c>
      <c r="C295" s="656"/>
      <c r="D295" s="659"/>
      <c r="E295" s="4">
        <v>1</v>
      </c>
      <c r="F295" s="202">
        <v>1</v>
      </c>
      <c r="G295" s="203">
        <f t="shared" si="10"/>
        <v>15</v>
      </c>
      <c r="H295" s="203">
        <f t="shared" si="11"/>
        <v>1</v>
      </c>
    </row>
    <row r="296" spans="1:9" s="222" customFormat="1" ht="12.75" hidden="1">
      <c r="A296" s="197"/>
      <c r="B296" s="198" t="s">
        <v>519</v>
      </c>
      <c r="C296" s="198"/>
      <c r="D296" s="70"/>
      <c r="E296" s="199"/>
      <c r="F296" s="202">
        <v>1</v>
      </c>
      <c r="G296" s="203">
        <f t="shared" si="10"/>
        <v>0</v>
      </c>
      <c r="H296" s="203">
        <f t="shared" si="11"/>
        <v>0</v>
      </c>
    </row>
    <row r="297" spans="1:9" s="222" customFormat="1" ht="12.75" hidden="1">
      <c r="A297" s="197"/>
      <c r="B297" s="198" t="s">
        <v>520</v>
      </c>
      <c r="C297" s="198"/>
      <c r="D297" s="70"/>
      <c r="E297" s="199"/>
      <c r="F297" s="203">
        <v>0.75</v>
      </c>
      <c r="G297" s="203">
        <f t="shared" si="10"/>
        <v>0</v>
      </c>
      <c r="H297" s="203">
        <f t="shared" si="11"/>
        <v>0</v>
      </c>
    </row>
    <row r="298" spans="1:9" s="222" customFormat="1" ht="12.75">
      <c r="A298" s="197"/>
      <c r="B298" s="205"/>
      <c r="C298" s="206"/>
      <c r="D298" s="206" t="s">
        <v>462</v>
      </c>
      <c r="E298" s="207"/>
      <c r="F298" s="207"/>
      <c r="G298" s="208">
        <f>G292+G295</f>
        <v>15</v>
      </c>
      <c r="H298" s="208">
        <f>H292+H295</f>
        <v>1</v>
      </c>
    </row>
    <row r="299" spans="1:9" s="448" customFormat="1" ht="21" customHeight="1">
      <c r="A299" s="86">
        <v>6.3</v>
      </c>
      <c r="B299" s="87" t="s">
        <v>1083</v>
      </c>
      <c r="C299" s="87"/>
      <c r="D299" s="209"/>
      <c r="E299" s="211"/>
      <c r="F299" s="211"/>
      <c r="G299" s="209"/>
      <c r="H299" s="212"/>
    </row>
    <row r="300" spans="1:9">
      <c r="A300" s="100"/>
      <c r="B300" s="101"/>
      <c r="C300" s="101"/>
      <c r="D300" s="103"/>
      <c r="E300" s="103" t="s">
        <v>581</v>
      </c>
      <c r="F300" s="105" t="s">
        <v>287</v>
      </c>
      <c r="G300" s="105" t="s">
        <v>584</v>
      </c>
      <c r="H300" s="105" t="s">
        <v>584</v>
      </c>
    </row>
    <row r="301" spans="1:9">
      <c r="A301" s="106"/>
      <c r="B301" s="107"/>
      <c r="C301" s="196"/>
      <c r="D301" s="109"/>
      <c r="E301" s="109" t="s">
        <v>594</v>
      </c>
      <c r="F301" s="111"/>
      <c r="G301" s="111" t="s">
        <v>583</v>
      </c>
      <c r="H301" s="111" t="s">
        <v>585</v>
      </c>
      <c r="I301" s="78" t="s">
        <v>465</v>
      </c>
    </row>
    <row r="302" spans="1:9" s="222" customFormat="1" ht="12.75">
      <c r="A302" s="197"/>
      <c r="B302" s="679" t="s">
        <v>517</v>
      </c>
      <c r="C302" s="213"/>
      <c r="D302" s="214"/>
      <c r="E302" s="686"/>
      <c r="F302" s="215">
        <v>1.5</v>
      </c>
      <c r="G302" s="203">
        <f t="shared" ref="G302:G307" si="12">H302*15</f>
        <v>0</v>
      </c>
      <c r="H302" s="203">
        <f t="shared" ref="H302:H307" si="13">E302*F302</f>
        <v>0</v>
      </c>
    </row>
    <row r="303" spans="1:9" s="222" customFormat="1" ht="12.75" hidden="1">
      <c r="A303" s="197"/>
      <c r="B303" s="198" t="s">
        <v>519</v>
      </c>
      <c r="C303" s="198"/>
      <c r="D303" s="69"/>
      <c r="E303" s="4"/>
      <c r="F303" s="204">
        <v>1.5</v>
      </c>
      <c r="G303" s="203">
        <f t="shared" si="12"/>
        <v>0</v>
      </c>
      <c r="H303" s="203">
        <f t="shared" si="13"/>
        <v>0</v>
      </c>
    </row>
    <row r="304" spans="1:9" s="222" customFormat="1" ht="12.75" hidden="1">
      <c r="A304" s="197"/>
      <c r="B304" s="198" t="s">
        <v>520</v>
      </c>
      <c r="C304" s="198"/>
      <c r="D304" s="69"/>
      <c r="E304" s="4"/>
      <c r="F304" s="202">
        <v>1</v>
      </c>
      <c r="G304" s="203">
        <f t="shared" si="12"/>
        <v>0</v>
      </c>
      <c r="H304" s="203">
        <f t="shared" si="13"/>
        <v>0</v>
      </c>
    </row>
    <row r="305" spans="1:9" s="222" customFormat="1" ht="12.75">
      <c r="A305" s="197"/>
      <c r="B305" s="680" t="s">
        <v>518</v>
      </c>
      <c r="C305" s="216"/>
      <c r="D305" s="217"/>
      <c r="E305" s="4"/>
      <c r="F305" s="218">
        <v>0.75</v>
      </c>
      <c r="G305" s="203">
        <f t="shared" si="12"/>
        <v>0</v>
      </c>
      <c r="H305" s="203">
        <f t="shared" si="13"/>
        <v>0</v>
      </c>
    </row>
    <row r="306" spans="1:9" s="222" customFormat="1" ht="12.75" hidden="1">
      <c r="A306" s="197"/>
      <c r="B306" s="198" t="s">
        <v>519</v>
      </c>
      <c r="C306" s="198"/>
      <c r="D306" s="69"/>
      <c r="E306" s="199"/>
      <c r="F306" s="203">
        <v>0.75</v>
      </c>
      <c r="G306" s="203">
        <f t="shared" si="12"/>
        <v>0</v>
      </c>
      <c r="H306" s="203">
        <f t="shared" si="13"/>
        <v>0</v>
      </c>
    </row>
    <row r="307" spans="1:9" s="222" customFormat="1" ht="12.75" hidden="1">
      <c r="A307" s="197"/>
      <c r="B307" s="198" t="s">
        <v>520</v>
      </c>
      <c r="C307" s="198"/>
      <c r="D307" s="69"/>
      <c r="E307" s="199"/>
      <c r="F307" s="204">
        <v>0.5</v>
      </c>
      <c r="G307" s="203">
        <f t="shared" si="12"/>
        <v>0</v>
      </c>
      <c r="H307" s="203">
        <f t="shared" si="13"/>
        <v>0</v>
      </c>
    </row>
    <row r="308" spans="1:9" s="222" customFormat="1" ht="12.75">
      <c r="A308" s="274"/>
      <c r="B308" s="205"/>
      <c r="C308" s="206"/>
      <c r="D308" s="206" t="s">
        <v>462</v>
      </c>
      <c r="E308" s="207"/>
      <c r="F308" s="207"/>
      <c r="G308" s="208">
        <f>G302+G305</f>
        <v>0</v>
      </c>
      <c r="H308" s="208">
        <f>H302+H305</f>
        <v>0</v>
      </c>
    </row>
    <row r="309" spans="1:9" s="448" customFormat="1" ht="21" customHeight="1">
      <c r="A309" s="219">
        <v>6.4</v>
      </c>
      <c r="B309" s="220" t="s">
        <v>290</v>
      </c>
      <c r="C309" s="209"/>
      <c r="D309" s="209"/>
      <c r="E309" s="211"/>
      <c r="F309" s="211"/>
      <c r="G309" s="209"/>
      <c r="H309" s="212"/>
    </row>
    <row r="310" spans="1:9">
      <c r="A310" s="100"/>
      <c r="B310" s="101"/>
      <c r="C310" s="101"/>
      <c r="D310" s="103"/>
      <c r="E310" s="103" t="s">
        <v>581</v>
      </c>
      <c r="F310" s="105" t="s">
        <v>287</v>
      </c>
      <c r="G310" s="105" t="s">
        <v>584</v>
      </c>
      <c r="H310" s="105" t="s">
        <v>584</v>
      </c>
    </row>
    <row r="311" spans="1:9">
      <c r="A311" s="106"/>
      <c r="B311" s="107"/>
      <c r="C311" s="196"/>
      <c r="D311" s="109"/>
      <c r="E311" s="109" t="s">
        <v>594</v>
      </c>
      <c r="F311" s="111"/>
      <c r="G311" s="111" t="s">
        <v>583</v>
      </c>
      <c r="H311" s="111" t="s">
        <v>585</v>
      </c>
      <c r="I311" s="78" t="s">
        <v>465</v>
      </c>
    </row>
    <row r="312" spans="1:9" s="222" customFormat="1" ht="12.75">
      <c r="A312" s="197"/>
      <c r="B312" s="681" t="s">
        <v>1119</v>
      </c>
      <c r="C312" s="213"/>
      <c r="D312" s="719"/>
      <c r="E312" s="717"/>
      <c r="F312" s="715">
        <v>3</v>
      </c>
      <c r="G312" s="714">
        <f>F312*E312</f>
        <v>0</v>
      </c>
      <c r="H312" s="714">
        <f>G312/15</f>
        <v>0</v>
      </c>
    </row>
    <row r="313" spans="1:9" s="450" customFormat="1" ht="12.75">
      <c r="A313" s="221"/>
      <c r="B313" s="222" t="s">
        <v>600</v>
      </c>
      <c r="C313" s="198"/>
      <c r="D313" s="720"/>
      <c r="E313" s="718"/>
      <c r="F313" s="716">
        <v>3</v>
      </c>
      <c r="G313" s="73">
        <f>F313*E313</f>
        <v>0</v>
      </c>
      <c r="H313" s="73">
        <f>G313/15</f>
        <v>0</v>
      </c>
    </row>
    <row r="314" spans="1:9" s="222" customFormat="1" ht="12.75">
      <c r="A314" s="197"/>
      <c r="B314" s="223"/>
      <c r="C314" s="206"/>
      <c r="D314" s="206" t="s">
        <v>462</v>
      </c>
      <c r="E314" s="224"/>
      <c r="F314" s="224"/>
      <c r="G314" s="225">
        <f>SUM(G312:G313)</f>
        <v>0</v>
      </c>
      <c r="H314" s="225">
        <f>SUM(H312:H313)</f>
        <v>0</v>
      </c>
    </row>
    <row r="315" spans="1:9" s="451" customFormat="1">
      <c r="A315" s="226"/>
      <c r="B315" s="226"/>
      <c r="C315" s="227"/>
      <c r="D315" s="226"/>
      <c r="E315" s="228"/>
      <c r="F315" s="228"/>
      <c r="G315" s="226"/>
      <c r="H315" s="226"/>
    </row>
    <row r="316" spans="1:9" s="451" customFormat="1">
      <c r="A316" s="683"/>
      <c r="B316" s="683"/>
      <c r="C316" s="684"/>
      <c r="D316" s="683"/>
      <c r="E316" s="685"/>
      <c r="F316" s="685"/>
      <c r="G316" s="683"/>
      <c r="H316" s="683"/>
      <c r="I316" s="683"/>
    </row>
    <row r="317" spans="1:9" s="448" customFormat="1" ht="18">
      <c r="A317" s="79">
        <v>7</v>
      </c>
      <c r="B317" s="80" t="s">
        <v>302</v>
      </c>
      <c r="C317" s="80"/>
      <c r="D317" s="80"/>
      <c r="E317" s="80"/>
      <c r="F317" s="80"/>
      <c r="G317" s="80"/>
      <c r="H317" s="193"/>
    </row>
    <row r="318" spans="1:9" s="436" customFormat="1" ht="12.75">
      <c r="A318" s="264"/>
      <c r="B318" s="265"/>
      <c r="C318" s="266"/>
      <c r="D318" s="267" t="s">
        <v>534</v>
      </c>
      <c r="E318" s="268" t="s">
        <v>605</v>
      </c>
      <c r="F318" s="237" t="s">
        <v>287</v>
      </c>
      <c r="G318" s="237" t="s">
        <v>584</v>
      </c>
      <c r="H318" s="105" t="s">
        <v>584</v>
      </c>
    </row>
    <row r="319" spans="1:9" s="452" customFormat="1" ht="12.75">
      <c r="A319" s="269"/>
      <c r="B319" s="270"/>
      <c r="C319" s="109"/>
      <c r="D319" s="271"/>
      <c r="E319" s="271" t="s">
        <v>606</v>
      </c>
      <c r="F319" s="691"/>
      <c r="G319" s="111" t="s">
        <v>583</v>
      </c>
      <c r="H319" s="111" t="s">
        <v>585</v>
      </c>
    </row>
    <row r="320" spans="1:9" s="298" customFormat="1" ht="12.75">
      <c r="A320" s="11"/>
      <c r="B320" s="437" t="s">
        <v>527</v>
      </c>
      <c r="C320" s="14" t="s">
        <v>532</v>
      </c>
      <c r="D320" s="2"/>
      <c r="E320" s="2"/>
      <c r="F320" s="692">
        <v>15</v>
      </c>
      <c r="G320" s="119">
        <f>((F320*E320)/100)</f>
        <v>0</v>
      </c>
      <c r="H320" s="119">
        <f>G320/15</f>
        <v>0</v>
      </c>
    </row>
    <row r="321" spans="1:8" s="298" customFormat="1" ht="12.75">
      <c r="A321" s="11"/>
      <c r="B321" s="437" t="s">
        <v>528</v>
      </c>
      <c r="C321" s="14" t="s">
        <v>532</v>
      </c>
      <c r="D321" s="2"/>
      <c r="E321" s="2"/>
      <c r="F321" s="692">
        <v>15</v>
      </c>
      <c r="G321" s="119">
        <f>((F321*E321)/100)</f>
        <v>0</v>
      </c>
      <c r="H321" s="119">
        <f>G321/15</f>
        <v>0</v>
      </c>
    </row>
    <row r="322" spans="1:8" s="298" customFormat="1" ht="12.75">
      <c r="A322" s="11"/>
      <c r="B322" s="437" t="s">
        <v>529</v>
      </c>
      <c r="C322" s="14" t="s">
        <v>532</v>
      </c>
      <c r="D322" s="2"/>
      <c r="E322" s="2"/>
      <c r="F322" s="692">
        <v>15</v>
      </c>
      <c r="G322" s="119">
        <f>((F322*E322)/100)</f>
        <v>0</v>
      </c>
      <c r="H322" s="119">
        <f>G322/15</f>
        <v>0</v>
      </c>
    </row>
    <row r="323" spans="1:8" s="298" customFormat="1" ht="12.75">
      <c r="A323" s="11"/>
      <c r="B323" s="437" t="s">
        <v>530</v>
      </c>
      <c r="C323" s="14" t="s">
        <v>532</v>
      </c>
      <c r="D323" s="2"/>
      <c r="E323" s="2"/>
      <c r="F323" s="692">
        <v>15</v>
      </c>
      <c r="G323" s="119">
        <f>((F323*E323)/100)</f>
        <v>0</v>
      </c>
      <c r="H323" s="119">
        <f>G323/15</f>
        <v>0</v>
      </c>
    </row>
    <row r="324" spans="1:8" s="298" customFormat="1" ht="12.75">
      <c r="A324" s="11"/>
      <c r="B324" s="437" t="s">
        <v>531</v>
      </c>
      <c r="C324" s="14" t="s">
        <v>532</v>
      </c>
      <c r="D324" s="2"/>
      <c r="E324" s="2"/>
      <c r="F324" s="692">
        <v>15</v>
      </c>
      <c r="G324" s="119">
        <f>((F324*E324)/100)</f>
        <v>0</v>
      </c>
      <c r="H324" s="119">
        <f>G324/15</f>
        <v>0</v>
      </c>
    </row>
    <row r="325" spans="1:8" s="222" customFormat="1" ht="12.75">
      <c r="A325" s="274"/>
      <c r="B325" s="693"/>
      <c r="C325" s="250" t="s">
        <v>462</v>
      </c>
      <c r="D325" s="207"/>
      <c r="E325" s="207"/>
      <c r="F325" s="207"/>
      <c r="G325" s="208">
        <f>SUM(G320:G324)</f>
        <v>0</v>
      </c>
      <c r="H325" s="208">
        <f>SUM(H320:H324)</f>
        <v>0</v>
      </c>
    </row>
    <row r="326" spans="1:8" s="222" customFormat="1" ht="12.75">
      <c r="A326" s="656" t="s">
        <v>1134</v>
      </c>
      <c r="B326" s="198"/>
      <c r="C326" s="694"/>
      <c r="D326" s="695"/>
      <c r="E326" s="695"/>
      <c r="F326" s="695"/>
      <c r="G326" s="696"/>
      <c r="H326" s="696"/>
    </row>
    <row r="327" spans="1:8" s="222" customFormat="1" ht="12.75">
      <c r="A327" s="198"/>
      <c r="B327" s="656" t="s">
        <v>1135</v>
      </c>
      <c r="C327" s="694"/>
      <c r="D327" s="695"/>
      <c r="E327" s="695"/>
      <c r="F327" s="695"/>
      <c r="G327" s="696"/>
      <c r="H327" s="696"/>
    </row>
    <row r="328" spans="1:8" s="222" customFormat="1" ht="12.75">
      <c r="A328" s="656"/>
      <c r="B328" s="198"/>
      <c r="C328" s="694"/>
      <c r="D328" s="695"/>
      <c r="E328" s="695"/>
      <c r="F328" s="695"/>
      <c r="G328" s="696"/>
      <c r="H328" s="696"/>
    </row>
    <row r="329" spans="1:8" s="222" customFormat="1" ht="12.75">
      <c r="A329" s="198"/>
      <c r="B329" s="700"/>
      <c r="C329" s="697"/>
      <c r="D329" s="698"/>
      <c r="E329" s="698"/>
      <c r="F329" s="698"/>
      <c r="G329" s="699"/>
      <c r="H329" s="699"/>
    </row>
    <row r="330" spans="1:8" s="448" customFormat="1" ht="18">
      <c r="A330" s="79">
        <v>8</v>
      </c>
      <c r="B330" s="80" t="s">
        <v>523</v>
      </c>
      <c r="C330" s="80"/>
      <c r="D330" s="275"/>
      <c r="E330" s="80"/>
      <c r="F330" s="80"/>
      <c r="G330" s="80"/>
      <c r="H330" s="193"/>
    </row>
    <row r="331" spans="1:8" s="448" customFormat="1" ht="21" customHeight="1">
      <c r="A331" s="86">
        <v>8.1</v>
      </c>
      <c r="B331" s="87" t="s">
        <v>342</v>
      </c>
      <c r="C331" s="276"/>
      <c r="D331" s="209"/>
      <c r="E331" s="211"/>
      <c r="F331" s="211"/>
      <c r="G331" s="209"/>
      <c r="H331" s="212"/>
    </row>
    <row r="332" spans="1:8">
      <c r="A332" s="100"/>
      <c r="B332" s="101"/>
      <c r="C332" s="101"/>
      <c r="D332" s="103"/>
      <c r="E332" s="235" t="s">
        <v>604</v>
      </c>
      <c r="F332" s="237" t="s">
        <v>287</v>
      </c>
      <c r="G332" s="237" t="s">
        <v>584</v>
      </c>
      <c r="H332" s="105" t="s">
        <v>584</v>
      </c>
    </row>
    <row r="333" spans="1:8">
      <c r="A333" s="277"/>
      <c r="B333" s="196"/>
      <c r="C333" s="278"/>
      <c r="D333" s="234"/>
      <c r="E333" s="235" t="s">
        <v>1120</v>
      </c>
      <c r="F333" s="237"/>
      <c r="G333" s="237" t="s">
        <v>583</v>
      </c>
      <c r="H333" s="237" t="s">
        <v>585</v>
      </c>
    </row>
    <row r="334" spans="1:8" s="450" customFormat="1" ht="27.75" customHeight="1">
      <c r="A334" s="279"/>
      <c r="B334" s="1377" t="s">
        <v>341</v>
      </c>
      <c r="C334" s="1378"/>
      <c r="D334" s="280"/>
      <c r="E334" s="682">
        <v>21</v>
      </c>
      <c r="F334" s="281">
        <v>0.5</v>
      </c>
      <c r="G334" s="282">
        <f>F334*E334</f>
        <v>10.5</v>
      </c>
      <c r="H334" s="282">
        <f>G334/15</f>
        <v>0.7</v>
      </c>
    </row>
    <row r="335" spans="1:8" s="222" customFormat="1" ht="12.75">
      <c r="A335" s="283"/>
      <c r="B335" s="284"/>
      <c r="C335" s="285"/>
      <c r="D335" s="286" t="s">
        <v>462</v>
      </c>
      <c r="E335" s="287"/>
      <c r="F335" s="287"/>
      <c r="G335" s="288">
        <f>G334</f>
        <v>10.5</v>
      </c>
      <c r="H335" s="288">
        <f>H334</f>
        <v>0.7</v>
      </c>
    </row>
    <row r="336" spans="1:8" s="448" customFormat="1" ht="21" customHeight="1">
      <c r="A336" s="86">
        <v>8.1999999999999993</v>
      </c>
      <c r="B336" s="87" t="s">
        <v>303</v>
      </c>
      <c r="C336" s="276"/>
      <c r="D336" s="209"/>
      <c r="E336" s="211"/>
      <c r="F336" s="211"/>
      <c r="G336" s="209"/>
      <c r="H336" s="212"/>
    </row>
    <row r="337" spans="1:8">
      <c r="A337" s="100"/>
      <c r="B337" s="101"/>
      <c r="C337" s="234"/>
      <c r="D337" s="289" t="s">
        <v>464</v>
      </c>
      <c r="E337" s="235" t="s">
        <v>479</v>
      </c>
      <c r="F337" s="237" t="s">
        <v>287</v>
      </c>
      <c r="G337" s="237" t="s">
        <v>584</v>
      </c>
      <c r="H337" s="237" t="s">
        <v>584</v>
      </c>
    </row>
    <row r="338" spans="1:8">
      <c r="A338" s="290"/>
      <c r="B338" s="278"/>
      <c r="C338" s="234"/>
      <c r="D338" s="289" t="s">
        <v>601</v>
      </c>
      <c r="E338" s="235" t="s">
        <v>602</v>
      </c>
      <c r="F338" s="237"/>
      <c r="G338" s="237" t="s">
        <v>583</v>
      </c>
      <c r="H338" s="237" t="s">
        <v>585</v>
      </c>
    </row>
    <row r="339" spans="1:8" ht="14.25" customHeight="1">
      <c r="A339" s="106"/>
      <c r="B339" s="107"/>
      <c r="C339" s="108"/>
      <c r="D339" s="271" t="s">
        <v>583</v>
      </c>
      <c r="E339" s="109"/>
      <c r="F339" s="111"/>
      <c r="G339" s="111"/>
      <c r="H339" s="111"/>
    </row>
    <row r="340" spans="1:8" s="450" customFormat="1" ht="12.75">
      <c r="A340" s="221"/>
      <c r="B340" s="453" t="s">
        <v>469</v>
      </c>
      <c r="C340" s="14" t="s">
        <v>1282</v>
      </c>
      <c r="D340" s="4">
        <v>189</v>
      </c>
      <c r="E340" s="4">
        <v>100</v>
      </c>
      <c r="F340" s="291">
        <v>0.1</v>
      </c>
      <c r="G340" s="203">
        <f>(F340*D340)*E340/100</f>
        <v>18.900000000000002</v>
      </c>
      <c r="H340" s="203">
        <f>G340/15</f>
        <v>1.2600000000000002</v>
      </c>
    </row>
    <row r="341" spans="1:8" s="450" customFormat="1" ht="12.75">
      <c r="A341" s="221"/>
      <c r="B341" s="453" t="s">
        <v>470</v>
      </c>
      <c r="C341" s="14"/>
      <c r="D341" s="4"/>
      <c r="E341" s="4"/>
      <c r="F341" s="291">
        <v>0.1</v>
      </c>
      <c r="G341" s="203">
        <f>(F341*D341*15)*E341/100</f>
        <v>0</v>
      </c>
      <c r="H341" s="203">
        <f>G341/15</f>
        <v>0</v>
      </c>
    </row>
    <row r="342" spans="1:8" s="450" customFormat="1" ht="12.75">
      <c r="A342" s="221"/>
      <c r="B342" s="453" t="s">
        <v>471</v>
      </c>
      <c r="C342" s="14"/>
      <c r="D342" s="4"/>
      <c r="E342" s="4"/>
      <c r="F342" s="291">
        <v>0.1</v>
      </c>
      <c r="G342" s="203">
        <f>(F342*D342*15)*E342/100</f>
        <v>0</v>
      </c>
      <c r="H342" s="203">
        <f>G342/15</f>
        <v>0</v>
      </c>
    </row>
    <row r="343" spans="1:8" s="222" customFormat="1" ht="12.75">
      <c r="A343" s="283"/>
      <c r="B343" s="205"/>
      <c r="C343" s="250" t="s">
        <v>462</v>
      </c>
      <c r="D343" s="207"/>
      <c r="E343" s="207"/>
      <c r="F343" s="207"/>
      <c r="G343" s="208">
        <f>SUM(G340:G342)</f>
        <v>18.900000000000002</v>
      </c>
      <c r="H343" s="208">
        <f>SUM(H340:H342)</f>
        <v>1.2600000000000002</v>
      </c>
    </row>
    <row r="344" spans="1:8" s="448" customFormat="1" ht="31.5" customHeight="1">
      <c r="A344" s="1151">
        <v>8.3000000000000007</v>
      </c>
      <c r="B344" s="1379" t="s">
        <v>1216</v>
      </c>
      <c r="C344" s="1379"/>
      <c r="D344" s="1379"/>
      <c r="E344" s="1379"/>
      <c r="F344" s="1379"/>
      <c r="G344" s="1379"/>
      <c r="H344" s="1380"/>
    </row>
    <row r="345" spans="1:8" s="436" customFormat="1" ht="12.75">
      <c r="A345" s="264"/>
      <c r="B345" s="292"/>
      <c r="C345" s="265"/>
      <c r="D345" s="265"/>
      <c r="E345" s="267" t="s">
        <v>673</v>
      </c>
      <c r="F345" s="105" t="s">
        <v>287</v>
      </c>
      <c r="G345" s="237" t="s">
        <v>584</v>
      </c>
      <c r="H345" s="293" t="s">
        <v>604</v>
      </c>
    </row>
    <row r="346" spans="1:8" s="452" customFormat="1" ht="12.75">
      <c r="A346" s="269"/>
      <c r="B346" s="294"/>
      <c r="C346" s="270"/>
      <c r="D346" s="270"/>
      <c r="E346" s="271"/>
      <c r="F346" s="295"/>
      <c r="G346" s="111" t="s">
        <v>583</v>
      </c>
      <c r="H346" s="295" t="s">
        <v>608</v>
      </c>
    </row>
    <row r="347" spans="1:8" s="298" customFormat="1" ht="16.5" customHeight="1">
      <c r="A347" s="296"/>
      <c r="B347" s="1152" t="s">
        <v>1183</v>
      </c>
      <c r="C347" s="546"/>
      <c r="D347" s="546"/>
      <c r="E347" s="299"/>
      <c r="F347" s="11"/>
      <c r="G347" s="11"/>
      <c r="H347" s="11"/>
    </row>
    <row r="348" spans="1:8" s="298" customFormat="1" ht="12.75">
      <c r="A348" s="11"/>
      <c r="B348" s="437" t="s">
        <v>566</v>
      </c>
      <c r="C348" s="14" t="s">
        <v>1283</v>
      </c>
      <c r="D348" s="14"/>
      <c r="E348" s="2">
        <v>1</v>
      </c>
      <c r="F348" s="272">
        <v>50</v>
      </c>
      <c r="G348" s="273">
        <f>IF(OR(E348="",E348=0),0,F348/E348)</f>
        <v>50</v>
      </c>
      <c r="H348" s="273">
        <f>G348/15</f>
        <v>3.3333333333333335</v>
      </c>
    </row>
    <row r="349" spans="1:8" s="298" customFormat="1" ht="12.75">
      <c r="A349" s="11"/>
      <c r="B349" s="437" t="s">
        <v>567</v>
      </c>
      <c r="C349" s="14" t="s">
        <v>1331</v>
      </c>
      <c r="D349" s="14"/>
      <c r="E349" s="2">
        <v>1</v>
      </c>
      <c r="F349" s="272">
        <v>50</v>
      </c>
      <c r="G349" s="273">
        <f>IF(OR(E349="",E349=0),0,F349/E349)</f>
        <v>50</v>
      </c>
      <c r="H349" s="273">
        <f>G349/15</f>
        <v>3.3333333333333335</v>
      </c>
    </row>
    <row r="350" spans="1:8" s="298" customFormat="1" ht="12.75">
      <c r="A350" s="11"/>
      <c r="B350" s="437" t="s">
        <v>568</v>
      </c>
      <c r="C350" s="14" t="s">
        <v>509</v>
      </c>
      <c r="D350" s="14"/>
      <c r="E350" s="2"/>
      <c r="F350" s="272">
        <v>50</v>
      </c>
      <c r="G350" s="273">
        <f>IF(OR(E350="",E350=0),0,F350/E350)</f>
        <v>0</v>
      </c>
      <c r="H350" s="273">
        <f>G350/15</f>
        <v>0</v>
      </c>
    </row>
    <row r="351" spans="1:8" s="298" customFormat="1" ht="12.75">
      <c r="A351" s="11"/>
      <c r="B351" s="437" t="s">
        <v>569</v>
      </c>
      <c r="C351" s="14" t="s">
        <v>509</v>
      </c>
      <c r="D351" s="14"/>
      <c r="E351" s="2"/>
      <c r="F351" s="272">
        <v>50</v>
      </c>
      <c r="G351" s="273">
        <f>IF(OR(E351="",E351=0),0,F351/E351)</f>
        <v>0</v>
      </c>
      <c r="H351" s="273">
        <f>G351/15</f>
        <v>0</v>
      </c>
    </row>
    <row r="352" spans="1:8" s="298" customFormat="1" ht="12.75">
      <c r="A352" s="11"/>
      <c r="B352" s="437" t="s">
        <v>570</v>
      </c>
      <c r="C352" s="14" t="s">
        <v>509</v>
      </c>
      <c r="D352" s="14"/>
      <c r="E352" s="2"/>
      <c r="F352" s="272">
        <v>50</v>
      </c>
      <c r="G352" s="273">
        <f>IF(OR(E352="",E352=0),0,F352/E352)</f>
        <v>0</v>
      </c>
      <c r="H352" s="273">
        <f>G352/15</f>
        <v>0</v>
      </c>
    </row>
    <row r="353" spans="1:8" s="298" customFormat="1" ht="12.75">
      <c r="A353" s="11"/>
      <c r="B353" s="129"/>
      <c r="C353" s="300"/>
      <c r="D353" s="300" t="s">
        <v>462</v>
      </c>
      <c r="E353" s="301"/>
      <c r="F353" s="302"/>
      <c r="G353" s="303">
        <f>SUM(G348:G352)</f>
        <v>100</v>
      </c>
      <c r="H353" s="303">
        <f>SUM(H348:H352)</f>
        <v>6.666666666666667</v>
      </c>
    </row>
    <row r="354" spans="1:8" s="436" customFormat="1" ht="12.75">
      <c r="A354" s="264"/>
      <c r="B354" s="292"/>
      <c r="C354" s="265"/>
      <c r="D354" s="265"/>
      <c r="E354" s="267" t="s">
        <v>313</v>
      </c>
      <c r="F354" s="105" t="s">
        <v>287</v>
      </c>
      <c r="G354" s="237" t="s">
        <v>584</v>
      </c>
      <c r="H354" s="293" t="s">
        <v>604</v>
      </c>
    </row>
    <row r="355" spans="1:8" s="452" customFormat="1" ht="12.75">
      <c r="A355" s="269"/>
      <c r="B355" s="294"/>
      <c r="C355" s="270"/>
      <c r="D355" s="270"/>
      <c r="E355" s="271"/>
      <c r="F355" s="295"/>
      <c r="G355" s="111" t="s">
        <v>583</v>
      </c>
      <c r="H355" s="295" t="s">
        <v>608</v>
      </c>
    </row>
    <row r="356" spans="1:8" s="298" customFormat="1" ht="16.5" customHeight="1">
      <c r="A356" s="296"/>
      <c r="B356" s="1152" t="s">
        <v>1184</v>
      </c>
      <c r="C356" s="546"/>
      <c r="D356" s="546"/>
      <c r="E356" s="304"/>
      <c r="F356" s="11"/>
      <c r="G356" s="11"/>
      <c r="H356" s="11"/>
    </row>
    <row r="357" spans="1:8" s="298" customFormat="1" ht="12.75">
      <c r="A357" s="11"/>
      <c r="B357" s="437" t="s">
        <v>566</v>
      </c>
      <c r="C357" s="14" t="s">
        <v>1283</v>
      </c>
      <c r="D357" s="14"/>
      <c r="E357" s="2">
        <v>5</v>
      </c>
      <c r="F357" s="272">
        <v>8</v>
      </c>
      <c r="G357" s="273">
        <f>F357*E357</f>
        <v>40</v>
      </c>
      <c r="H357" s="273">
        <f>G357/15</f>
        <v>2.6666666666666665</v>
      </c>
    </row>
    <row r="358" spans="1:8" s="298" customFormat="1" ht="12.75">
      <c r="A358" s="11"/>
      <c r="B358" s="437" t="s">
        <v>567</v>
      </c>
      <c r="C358" s="14" t="s">
        <v>509</v>
      </c>
      <c r="D358" s="14"/>
      <c r="E358" s="2"/>
      <c r="F358" s="272">
        <v>8</v>
      </c>
      <c r="G358" s="273">
        <f>F358*E358</f>
        <v>0</v>
      </c>
      <c r="H358" s="273">
        <f>G358/15</f>
        <v>0</v>
      </c>
    </row>
    <row r="359" spans="1:8" s="298" customFormat="1" ht="12.75">
      <c r="A359" s="11"/>
      <c r="B359" s="437" t="s">
        <v>568</v>
      </c>
      <c r="C359" s="14" t="s">
        <v>509</v>
      </c>
      <c r="D359" s="14"/>
      <c r="E359" s="2"/>
      <c r="F359" s="272">
        <v>8</v>
      </c>
      <c r="G359" s="273">
        <f>F359*E359</f>
        <v>0</v>
      </c>
      <c r="H359" s="273">
        <f>G359/15</f>
        <v>0</v>
      </c>
    </row>
    <row r="360" spans="1:8" s="298" customFormat="1" ht="12.75">
      <c r="A360" s="11"/>
      <c r="B360" s="437" t="s">
        <v>569</v>
      </c>
      <c r="C360" s="14" t="s">
        <v>509</v>
      </c>
      <c r="D360" s="14"/>
      <c r="E360" s="2"/>
      <c r="F360" s="272">
        <v>8</v>
      </c>
      <c r="G360" s="273">
        <f>F360*E360</f>
        <v>0</v>
      </c>
      <c r="H360" s="273">
        <f>G360/15</f>
        <v>0</v>
      </c>
    </row>
    <row r="361" spans="1:8" s="298" customFormat="1" ht="12.75">
      <c r="A361" s="11"/>
      <c r="B361" s="437" t="s">
        <v>570</v>
      </c>
      <c r="C361" s="14" t="s">
        <v>509</v>
      </c>
      <c r="D361" s="14"/>
      <c r="E361" s="2"/>
      <c r="F361" s="272">
        <v>8</v>
      </c>
      <c r="G361" s="273">
        <f>F361*E361</f>
        <v>0</v>
      </c>
      <c r="H361" s="273">
        <f>G361/15</f>
        <v>0</v>
      </c>
    </row>
    <row r="362" spans="1:8" s="298" customFormat="1" ht="12.75">
      <c r="A362" s="305"/>
      <c r="B362" s="129"/>
      <c r="C362" s="300"/>
      <c r="D362" s="300" t="s">
        <v>462</v>
      </c>
      <c r="E362" s="301"/>
      <c r="F362" s="302"/>
      <c r="G362" s="303">
        <f>SUM(G357:G361)</f>
        <v>40</v>
      </c>
      <c r="H362" s="303">
        <f>SUM(H357:H361)</f>
        <v>2.6666666666666665</v>
      </c>
    </row>
    <row r="363" spans="1:8" s="436" customFormat="1" ht="21" customHeight="1">
      <c r="A363" s="149"/>
      <c r="B363" s="132"/>
      <c r="C363" s="133"/>
      <c r="D363" s="133"/>
      <c r="E363" s="306"/>
      <c r="F363" s="307" t="s">
        <v>603</v>
      </c>
      <c r="G363" s="136">
        <f>G335+G343+G353+G362</f>
        <v>169.4</v>
      </c>
      <c r="H363" s="136">
        <f>H335+H343+H353+H362</f>
        <v>11.293333333333333</v>
      </c>
    </row>
  </sheetData>
  <sheetProtection password="C924" sheet="1"/>
  <mergeCells count="2">
    <mergeCell ref="B334:C334"/>
    <mergeCell ref="B344:H344"/>
  </mergeCells>
  <phoneticPr fontId="1" type="noConversion"/>
  <pageMargins left="1.1811023622047245" right="0.27559055118110237" top="0.59055118110236227" bottom="0.39370078740157483" header="0.19685039370078741" footer="0.19685039370078741"/>
  <pageSetup paperSize="9" scale="93" orientation="landscape" horizontalDpi="300" verticalDpi="300" r:id="rId1"/>
  <headerFooter alignWithMargins="0">
    <oddHeader>&amp;Rส่วนที่ 1 การคำนวณภาระงานสอน   หน้าที่ &amp;P/&amp;N</oddHeader>
    <oddFooter>&amp;Lส่วนที่ 1 การคำนวณภาระงานสอน&amp;Cหน้าที่ &amp;P/&amp;N</oddFooter>
  </headerFooter>
  <rowBreaks count="9" manualBreakCount="9">
    <brk id="39" max="16383" man="1"/>
    <brk id="77" max="16383" man="1"/>
    <brk id="112" max="16383" man="1"/>
    <brk id="149" max="16383" man="1"/>
    <brk id="191" max="7" man="1"/>
    <brk id="227" max="16383" man="1"/>
    <brk id="268" max="7" man="1"/>
    <brk id="316" max="16383" man="1"/>
    <brk id="353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29"/>
  </sheetPr>
  <dimension ref="A2:I319"/>
  <sheetViews>
    <sheetView topLeftCell="A330" workbookViewId="0">
      <selection activeCell="E14" sqref="E14"/>
    </sheetView>
  </sheetViews>
  <sheetFormatPr defaultRowHeight="12.75"/>
  <cols>
    <col min="1" max="1" width="5.7109375" style="533" customWidth="1"/>
    <col min="2" max="2" width="13" style="533" customWidth="1"/>
    <col min="3" max="3" width="32.28515625" style="533" customWidth="1"/>
    <col min="4" max="4" width="14.140625" style="533" customWidth="1"/>
    <col min="5" max="5" width="12.85546875" style="533" customWidth="1"/>
    <col min="6" max="6" width="13.5703125" style="533" customWidth="1"/>
    <col min="7" max="7" width="13.42578125" style="533" customWidth="1"/>
    <col min="8" max="8" width="13.5703125" style="533" customWidth="1"/>
    <col min="9" max="9" width="13.42578125" style="533" customWidth="1"/>
    <col min="10" max="16384" width="9.140625" style="533"/>
  </cols>
  <sheetData>
    <row r="2" spans="1:9" s="76" customFormat="1" ht="18">
      <c r="A2" s="75" t="s">
        <v>627</v>
      </c>
      <c r="D2" s="77"/>
      <c r="F2" s="78"/>
      <c r="G2" s="78"/>
      <c r="H2" s="78"/>
    </row>
    <row r="3" spans="1:9" s="76" customFormat="1" ht="18">
      <c r="D3" s="77"/>
      <c r="F3" s="78"/>
      <c r="G3" s="78"/>
      <c r="H3" s="78"/>
    </row>
    <row r="4" spans="1:9" s="76" customFormat="1" ht="21" customHeight="1">
      <c r="A4" s="79">
        <v>1</v>
      </c>
      <c r="B4" s="80" t="s">
        <v>526</v>
      </c>
      <c r="C4" s="81"/>
      <c r="D4" s="82"/>
      <c r="E4" s="83"/>
      <c r="F4" s="83"/>
      <c r="G4" s="84"/>
      <c r="H4" s="456"/>
      <c r="I4" s="85"/>
    </row>
    <row r="5" spans="1:9" s="76" customFormat="1" ht="21" hidden="1" customHeight="1">
      <c r="A5" s="79"/>
      <c r="B5" s="80"/>
      <c r="C5" s="81"/>
      <c r="D5" s="82"/>
      <c r="E5" s="83"/>
      <c r="F5" s="83"/>
      <c r="G5" s="84"/>
      <c r="H5" s="456"/>
      <c r="I5" s="85"/>
    </row>
    <row r="6" spans="1:9" s="76" customFormat="1" ht="21" customHeight="1">
      <c r="A6" s="86">
        <v>1.1000000000000001</v>
      </c>
      <c r="B6" s="87" t="s">
        <v>1195</v>
      </c>
      <c r="C6" s="88"/>
      <c r="D6" s="88"/>
      <c r="E6" s="88"/>
      <c r="F6" s="88"/>
      <c r="G6" s="88"/>
      <c r="H6" s="88"/>
      <c r="I6" s="1153"/>
    </row>
    <row r="7" spans="1:9" s="436" customFormat="1">
      <c r="A7" s="264"/>
      <c r="B7" s="265"/>
      <c r="C7" s="266"/>
      <c r="D7" s="268" t="s">
        <v>533</v>
      </c>
      <c r="E7" s="267" t="s">
        <v>534</v>
      </c>
      <c r="F7" s="268" t="s">
        <v>605</v>
      </c>
      <c r="G7" s="116" t="s">
        <v>584</v>
      </c>
      <c r="H7" s="105" t="s">
        <v>584</v>
      </c>
      <c r="I7" s="105" t="s">
        <v>584</v>
      </c>
    </row>
    <row r="8" spans="1:9" s="452" customFormat="1">
      <c r="A8" s="457"/>
      <c r="B8" s="458"/>
      <c r="C8" s="459"/>
      <c r="D8" s="289"/>
      <c r="E8" s="289"/>
      <c r="F8" s="289" t="s">
        <v>606</v>
      </c>
      <c r="G8" s="237" t="s">
        <v>346</v>
      </c>
      <c r="H8" s="111" t="s">
        <v>583</v>
      </c>
      <c r="I8" s="111" t="s">
        <v>585</v>
      </c>
    </row>
    <row r="9" spans="1:9" s="298" customFormat="1">
      <c r="A9" s="460"/>
      <c r="B9" s="127" t="s">
        <v>1011</v>
      </c>
      <c r="C9" s="461"/>
      <c r="D9" s="460"/>
      <c r="E9" s="460"/>
      <c r="F9" s="460"/>
      <c r="G9" s="460"/>
      <c r="H9" s="460"/>
      <c r="I9" s="460"/>
    </row>
    <row r="10" spans="1:9" s="298" customFormat="1">
      <c r="A10" s="11"/>
      <c r="B10" s="437" t="s">
        <v>527</v>
      </c>
      <c r="C10" s="14" t="s">
        <v>1284</v>
      </c>
      <c r="D10" s="1211">
        <v>280400</v>
      </c>
      <c r="E10" s="2">
        <v>2</v>
      </c>
      <c r="F10" s="2">
        <v>80</v>
      </c>
      <c r="G10" s="273">
        <f>IF(AND(D10&lt;&gt;"",D10&lt;&gt;0,E10&lt;&gt;"",E10&lt;&gt;0,F10&lt;&gt;"",F10&lt;&gt;0),IF(F10=100,(15+1)*(15+(TRUNC(D10/10000)*0.3)),(15+E10)*(15+(TRUNC(D10/10000)*0.3))),0)</f>
        <v>397.79999999999995</v>
      </c>
      <c r="H10" s="273">
        <f t="shared" ref="H10:H24" si="0">((G10*F10)/100)/2</f>
        <v>159.11999999999998</v>
      </c>
      <c r="I10" s="273">
        <f t="shared" ref="I10:I24" si="1">H10/15</f>
        <v>10.607999999999999</v>
      </c>
    </row>
    <row r="11" spans="1:9" s="298" customFormat="1">
      <c r="A11" s="11"/>
      <c r="B11" s="437" t="s">
        <v>528</v>
      </c>
      <c r="C11" s="14" t="s">
        <v>1285</v>
      </c>
      <c r="D11" s="1211">
        <v>304600</v>
      </c>
      <c r="E11" s="2">
        <v>4</v>
      </c>
      <c r="F11" s="2">
        <v>70</v>
      </c>
      <c r="G11" s="273">
        <f>IF(AND(D11&lt;&gt;"",D11&lt;&gt;0,E11&lt;&gt;"",E11&lt;&gt;0,F11&lt;&gt;"",F11&lt;&gt;0),IF(F11=100,(15+1)*(15+(TRUNC(D11/10000)*0.3)),(15+E11)*(15+(TRUNC(D11/10000)*0.3))),0)</f>
        <v>456</v>
      </c>
      <c r="H11" s="273">
        <f t="shared" si="0"/>
        <v>159.6</v>
      </c>
      <c r="I11" s="273">
        <f t="shared" si="1"/>
        <v>10.639999999999999</v>
      </c>
    </row>
    <row r="12" spans="1:9" s="298" customFormat="1">
      <c r="A12" s="11"/>
      <c r="B12" s="437" t="s">
        <v>529</v>
      </c>
      <c r="C12" s="14" t="s">
        <v>532</v>
      </c>
      <c r="D12" s="2"/>
      <c r="E12" s="2"/>
      <c r="F12" s="2"/>
      <c r="G12" s="273">
        <f t="shared" ref="G12:G23" si="2">IF(AND(D12&lt;&gt;"",D12&lt;&gt;0,E12&lt;&gt;"",E12&lt;&gt;0,F12&lt;&gt;"",F12&lt;&gt;0),IF(F12=100,(15+1)*(15+(TRUNC(D12/10000)*0.3)),(15+E12)*(15+(TRUNC(D12/10000)*0.3))),0)</f>
        <v>0</v>
      </c>
      <c r="H12" s="273">
        <f t="shared" si="0"/>
        <v>0</v>
      </c>
      <c r="I12" s="273">
        <f t="shared" si="1"/>
        <v>0</v>
      </c>
    </row>
    <row r="13" spans="1:9" s="298" customFormat="1">
      <c r="A13" s="11"/>
      <c r="B13" s="437" t="s">
        <v>530</v>
      </c>
      <c r="C13" s="14" t="s">
        <v>532</v>
      </c>
      <c r="D13" s="2"/>
      <c r="E13" s="2"/>
      <c r="F13" s="2"/>
      <c r="G13" s="273">
        <f t="shared" si="2"/>
        <v>0</v>
      </c>
      <c r="H13" s="273">
        <f t="shared" si="0"/>
        <v>0</v>
      </c>
      <c r="I13" s="273">
        <f t="shared" si="1"/>
        <v>0</v>
      </c>
    </row>
    <row r="14" spans="1:9" s="298" customFormat="1">
      <c r="A14" s="11"/>
      <c r="B14" s="437" t="s">
        <v>531</v>
      </c>
      <c r="C14" s="14" t="s">
        <v>532</v>
      </c>
      <c r="D14" s="2"/>
      <c r="E14" s="2"/>
      <c r="F14" s="2"/>
      <c r="G14" s="273">
        <f t="shared" si="2"/>
        <v>0</v>
      </c>
      <c r="H14" s="273">
        <f t="shared" si="0"/>
        <v>0</v>
      </c>
      <c r="I14" s="273">
        <f t="shared" si="1"/>
        <v>0</v>
      </c>
    </row>
    <row r="15" spans="1:9" s="298" customFormat="1">
      <c r="A15" s="11"/>
      <c r="B15" s="437" t="s">
        <v>746</v>
      </c>
      <c r="C15" s="14" t="s">
        <v>532</v>
      </c>
      <c r="D15" s="2"/>
      <c r="E15" s="2"/>
      <c r="F15" s="2"/>
      <c r="G15" s="273">
        <f t="shared" si="2"/>
        <v>0</v>
      </c>
      <c r="H15" s="273">
        <f t="shared" si="0"/>
        <v>0</v>
      </c>
      <c r="I15" s="273">
        <f t="shared" si="1"/>
        <v>0</v>
      </c>
    </row>
    <row r="16" spans="1:9" s="298" customFormat="1">
      <c r="A16" s="11"/>
      <c r="B16" s="437" t="s">
        <v>747</v>
      </c>
      <c r="C16" s="14" t="s">
        <v>532</v>
      </c>
      <c r="D16" s="2"/>
      <c r="E16" s="2"/>
      <c r="F16" s="2"/>
      <c r="G16" s="273">
        <f t="shared" si="2"/>
        <v>0</v>
      </c>
      <c r="H16" s="273">
        <f t="shared" si="0"/>
        <v>0</v>
      </c>
      <c r="I16" s="273">
        <f t="shared" si="1"/>
        <v>0</v>
      </c>
    </row>
    <row r="17" spans="1:9" s="298" customFormat="1">
      <c r="A17" s="11"/>
      <c r="B17" s="437" t="s">
        <v>748</v>
      </c>
      <c r="C17" s="14" t="s">
        <v>532</v>
      </c>
      <c r="D17" s="2"/>
      <c r="E17" s="2"/>
      <c r="F17" s="2"/>
      <c r="G17" s="273">
        <f t="shared" si="2"/>
        <v>0</v>
      </c>
      <c r="H17" s="273">
        <f t="shared" si="0"/>
        <v>0</v>
      </c>
      <c r="I17" s="273">
        <f t="shared" si="1"/>
        <v>0</v>
      </c>
    </row>
    <row r="18" spans="1:9" s="298" customFormat="1">
      <c r="A18" s="11"/>
      <c r="B18" s="437" t="s">
        <v>749</v>
      </c>
      <c r="C18" s="14" t="s">
        <v>532</v>
      </c>
      <c r="D18" s="2"/>
      <c r="E18" s="2"/>
      <c r="F18" s="2"/>
      <c r="G18" s="273">
        <f t="shared" si="2"/>
        <v>0</v>
      </c>
      <c r="H18" s="273">
        <f t="shared" si="0"/>
        <v>0</v>
      </c>
      <c r="I18" s="273">
        <f t="shared" si="1"/>
        <v>0</v>
      </c>
    </row>
    <row r="19" spans="1:9" s="298" customFormat="1">
      <c r="A19" s="11"/>
      <c r="B19" s="437" t="s">
        <v>750</v>
      </c>
      <c r="C19" s="14" t="s">
        <v>532</v>
      </c>
      <c r="D19" s="2"/>
      <c r="E19" s="2"/>
      <c r="F19" s="2"/>
      <c r="G19" s="273">
        <f t="shared" si="2"/>
        <v>0</v>
      </c>
      <c r="H19" s="273">
        <f t="shared" si="0"/>
        <v>0</v>
      </c>
      <c r="I19" s="273">
        <f t="shared" si="1"/>
        <v>0</v>
      </c>
    </row>
    <row r="20" spans="1:9" s="298" customFormat="1">
      <c r="A20" s="11"/>
      <c r="B20" s="437" t="s">
        <v>751</v>
      </c>
      <c r="C20" s="14" t="s">
        <v>532</v>
      </c>
      <c r="D20" s="2"/>
      <c r="E20" s="2"/>
      <c r="F20" s="2"/>
      <c r="G20" s="273">
        <f t="shared" si="2"/>
        <v>0</v>
      </c>
      <c r="H20" s="273">
        <f t="shared" si="0"/>
        <v>0</v>
      </c>
      <c r="I20" s="273">
        <f t="shared" si="1"/>
        <v>0</v>
      </c>
    </row>
    <row r="21" spans="1:9" s="298" customFormat="1">
      <c r="A21" s="11"/>
      <c r="B21" s="437" t="s">
        <v>752</v>
      </c>
      <c r="C21" s="14" t="s">
        <v>532</v>
      </c>
      <c r="D21" s="2"/>
      <c r="E21" s="2"/>
      <c r="F21" s="2"/>
      <c r="G21" s="273">
        <f t="shared" si="2"/>
        <v>0</v>
      </c>
      <c r="H21" s="273">
        <f t="shared" si="0"/>
        <v>0</v>
      </c>
      <c r="I21" s="273">
        <f t="shared" si="1"/>
        <v>0</v>
      </c>
    </row>
    <row r="22" spans="1:9" s="298" customFormat="1">
      <c r="A22" s="11"/>
      <c r="B22" s="437" t="s">
        <v>753</v>
      </c>
      <c r="C22" s="14" t="s">
        <v>532</v>
      </c>
      <c r="D22" s="2"/>
      <c r="E22" s="2"/>
      <c r="F22" s="2"/>
      <c r="G22" s="273">
        <f t="shared" si="2"/>
        <v>0</v>
      </c>
      <c r="H22" s="273">
        <f t="shared" si="0"/>
        <v>0</v>
      </c>
      <c r="I22" s="273">
        <f t="shared" si="1"/>
        <v>0</v>
      </c>
    </row>
    <row r="23" spans="1:9" s="298" customFormat="1">
      <c r="A23" s="11"/>
      <c r="B23" s="437" t="s">
        <v>754</v>
      </c>
      <c r="C23" s="14" t="s">
        <v>532</v>
      </c>
      <c r="D23" s="2"/>
      <c r="E23" s="2"/>
      <c r="F23" s="2"/>
      <c r="G23" s="273">
        <f t="shared" si="2"/>
        <v>0</v>
      </c>
      <c r="H23" s="273">
        <f t="shared" si="0"/>
        <v>0</v>
      </c>
      <c r="I23" s="273">
        <f t="shared" si="1"/>
        <v>0</v>
      </c>
    </row>
    <row r="24" spans="1:9" s="298" customFormat="1">
      <c r="A24" s="11"/>
      <c r="B24" s="437" t="s">
        <v>755</v>
      </c>
      <c r="C24" s="14" t="s">
        <v>532</v>
      </c>
      <c r="D24" s="2"/>
      <c r="E24" s="2"/>
      <c r="F24" s="2"/>
      <c r="G24" s="273">
        <f>IF(AND(D24&lt;&gt;"",D24&lt;&gt;0,E24&lt;&gt;"",E24&lt;&gt;0,F24&lt;&gt;"",F24&lt;&gt;0),IF(F24=100,(15+1)*(15+(TRUNC(D24/10000)*0.3)),(15+E24)*(15+(TRUNC(D24/10000)*0.3))),0)</f>
        <v>0</v>
      </c>
      <c r="H24" s="273">
        <f t="shared" si="0"/>
        <v>0</v>
      </c>
      <c r="I24" s="273">
        <f t="shared" si="1"/>
        <v>0</v>
      </c>
    </row>
    <row r="25" spans="1:9" s="298" customFormat="1">
      <c r="A25" s="11"/>
      <c r="B25" s="146"/>
      <c r="C25" s="300" t="s">
        <v>462</v>
      </c>
      <c r="D25" s="302"/>
      <c r="E25" s="302"/>
      <c r="F25" s="124"/>
      <c r="G25" s="302"/>
      <c r="H25" s="303">
        <f>SUM(H10:H24)</f>
        <v>318.71999999999997</v>
      </c>
      <c r="I25" s="303">
        <f>SUM(I10:I24)</f>
        <v>21.247999999999998</v>
      </c>
    </row>
    <row r="26" spans="1:9" s="436" customFormat="1">
      <c r="A26" s="264"/>
      <c r="B26" s="265"/>
      <c r="C26" s="266"/>
      <c r="D26" s="268" t="s">
        <v>533</v>
      </c>
      <c r="E26" s="267" t="s">
        <v>534</v>
      </c>
      <c r="F26" s="268" t="s">
        <v>605</v>
      </c>
      <c r="G26" s="116" t="s">
        <v>584</v>
      </c>
      <c r="H26" s="105" t="s">
        <v>584</v>
      </c>
      <c r="I26" s="105" t="s">
        <v>584</v>
      </c>
    </row>
    <row r="27" spans="1:9" s="452" customFormat="1">
      <c r="A27" s="269"/>
      <c r="B27" s="270"/>
      <c r="C27" s="109"/>
      <c r="D27" s="271"/>
      <c r="E27" s="271"/>
      <c r="F27" s="271" t="s">
        <v>606</v>
      </c>
      <c r="G27" s="111" t="s">
        <v>346</v>
      </c>
      <c r="H27" s="111" t="s">
        <v>583</v>
      </c>
      <c r="I27" s="111" t="s">
        <v>585</v>
      </c>
    </row>
    <row r="28" spans="1:9" s="298" customFormat="1">
      <c r="A28" s="11"/>
      <c r="B28" s="112" t="s">
        <v>1012</v>
      </c>
      <c r="D28" s="117"/>
      <c r="E28" s="117"/>
      <c r="F28" s="117"/>
      <c r="G28" s="11"/>
      <c r="H28" s="462"/>
      <c r="I28" s="462"/>
    </row>
    <row r="29" spans="1:9" s="298" customFormat="1">
      <c r="A29" s="11"/>
      <c r="B29" s="437" t="s">
        <v>527</v>
      </c>
      <c r="C29" s="14" t="s">
        <v>532</v>
      </c>
      <c r="D29" s="2"/>
      <c r="E29" s="2"/>
      <c r="F29" s="2"/>
      <c r="G29" s="273">
        <f>IF(AND(D29&lt;&gt;"",D29&lt;&gt;0,E29&lt;&gt;"",E29&lt;&gt;0,F29&lt;&gt;"",F29&lt;&gt;0),IF(F29=100,(15+1)*(15+(TRUNC(D29/5000)*0.3)),(15+E29)*(15+(TRUNC(D29/5000)*0.3))),0)</f>
        <v>0</v>
      </c>
      <c r="H29" s="273">
        <f t="shared" ref="H29:H38" si="3">((G29*F29)/100)/2</f>
        <v>0</v>
      </c>
      <c r="I29" s="273">
        <f t="shared" ref="I29:I38" si="4">H29/15</f>
        <v>0</v>
      </c>
    </row>
    <row r="30" spans="1:9" s="298" customFormat="1">
      <c r="A30" s="11"/>
      <c r="B30" s="437" t="s">
        <v>528</v>
      </c>
      <c r="C30" s="14" t="s">
        <v>532</v>
      </c>
      <c r="D30" s="2"/>
      <c r="E30" s="2"/>
      <c r="F30" s="2"/>
      <c r="G30" s="273">
        <f t="shared" ref="G30:G38" si="5">IF(AND(D30&lt;&gt;"",D30&lt;&gt;0,E30&lt;&gt;"",E30&lt;&gt;0,F30&lt;&gt;"",F30&lt;&gt;0),IF(F30=100,(15+1)*(15+(TRUNC(D30/5000)*0.3)),(15+E30)*(15+(TRUNC(D30/5000)*0.3))),0)</f>
        <v>0</v>
      </c>
      <c r="H30" s="273">
        <f t="shared" si="3"/>
        <v>0</v>
      </c>
      <c r="I30" s="273">
        <f t="shared" si="4"/>
        <v>0</v>
      </c>
    </row>
    <row r="31" spans="1:9" s="298" customFormat="1">
      <c r="A31" s="11"/>
      <c r="B31" s="437" t="s">
        <v>529</v>
      </c>
      <c r="C31" s="14" t="s">
        <v>532</v>
      </c>
      <c r="D31" s="2"/>
      <c r="E31" s="2"/>
      <c r="F31" s="2"/>
      <c r="G31" s="273">
        <f t="shared" si="5"/>
        <v>0</v>
      </c>
      <c r="H31" s="273">
        <f t="shared" si="3"/>
        <v>0</v>
      </c>
      <c r="I31" s="273">
        <f t="shared" si="4"/>
        <v>0</v>
      </c>
    </row>
    <row r="32" spans="1:9" s="298" customFormat="1">
      <c r="A32" s="11"/>
      <c r="B32" s="437" t="s">
        <v>530</v>
      </c>
      <c r="C32" s="14" t="s">
        <v>532</v>
      </c>
      <c r="D32" s="2"/>
      <c r="E32" s="2"/>
      <c r="F32" s="2"/>
      <c r="G32" s="273">
        <f t="shared" si="5"/>
        <v>0</v>
      </c>
      <c r="H32" s="273">
        <f t="shared" si="3"/>
        <v>0</v>
      </c>
      <c r="I32" s="273">
        <f t="shared" si="4"/>
        <v>0</v>
      </c>
    </row>
    <row r="33" spans="1:9" s="298" customFormat="1">
      <c r="A33" s="11"/>
      <c r="B33" s="437" t="s">
        <v>531</v>
      </c>
      <c r="C33" s="14" t="s">
        <v>532</v>
      </c>
      <c r="D33" s="2"/>
      <c r="E33" s="2"/>
      <c r="F33" s="2"/>
      <c r="G33" s="273">
        <f t="shared" si="5"/>
        <v>0</v>
      </c>
      <c r="H33" s="273">
        <f t="shared" si="3"/>
        <v>0</v>
      </c>
      <c r="I33" s="273">
        <f t="shared" si="4"/>
        <v>0</v>
      </c>
    </row>
    <row r="34" spans="1:9" s="298" customFormat="1">
      <c r="A34" s="11"/>
      <c r="B34" s="437" t="s">
        <v>746</v>
      </c>
      <c r="C34" s="14" t="s">
        <v>532</v>
      </c>
      <c r="D34" s="2"/>
      <c r="E34" s="2"/>
      <c r="F34" s="2"/>
      <c r="G34" s="273">
        <f t="shared" si="5"/>
        <v>0</v>
      </c>
      <c r="H34" s="273">
        <f t="shared" si="3"/>
        <v>0</v>
      </c>
      <c r="I34" s="273">
        <f t="shared" si="4"/>
        <v>0</v>
      </c>
    </row>
    <row r="35" spans="1:9" s="298" customFormat="1">
      <c r="A35" s="11"/>
      <c r="B35" s="437" t="s">
        <v>747</v>
      </c>
      <c r="C35" s="14" t="s">
        <v>532</v>
      </c>
      <c r="D35" s="2"/>
      <c r="E35" s="2"/>
      <c r="F35" s="2"/>
      <c r="G35" s="273">
        <f t="shared" si="5"/>
        <v>0</v>
      </c>
      <c r="H35" s="273">
        <f t="shared" si="3"/>
        <v>0</v>
      </c>
      <c r="I35" s="273">
        <f t="shared" si="4"/>
        <v>0</v>
      </c>
    </row>
    <row r="36" spans="1:9" s="298" customFormat="1">
      <c r="A36" s="11"/>
      <c r="B36" s="437" t="s">
        <v>748</v>
      </c>
      <c r="C36" s="14" t="s">
        <v>532</v>
      </c>
      <c r="D36" s="2"/>
      <c r="E36" s="2"/>
      <c r="F36" s="2"/>
      <c r="G36" s="273">
        <f t="shared" si="5"/>
        <v>0</v>
      </c>
      <c r="H36" s="273">
        <f t="shared" si="3"/>
        <v>0</v>
      </c>
      <c r="I36" s="273">
        <f t="shared" si="4"/>
        <v>0</v>
      </c>
    </row>
    <row r="37" spans="1:9" s="298" customFormat="1">
      <c r="A37" s="11"/>
      <c r="B37" s="437" t="s">
        <v>749</v>
      </c>
      <c r="C37" s="14" t="s">
        <v>532</v>
      </c>
      <c r="D37" s="2"/>
      <c r="E37" s="2"/>
      <c r="F37" s="2"/>
      <c r="G37" s="273">
        <f t="shared" si="5"/>
        <v>0</v>
      </c>
      <c r="H37" s="273">
        <f t="shared" si="3"/>
        <v>0</v>
      </c>
      <c r="I37" s="273">
        <f t="shared" si="4"/>
        <v>0</v>
      </c>
    </row>
    <row r="38" spans="1:9" s="298" customFormat="1">
      <c r="A38" s="11"/>
      <c r="B38" s="437" t="s">
        <v>750</v>
      </c>
      <c r="C38" s="14" t="s">
        <v>532</v>
      </c>
      <c r="D38" s="2"/>
      <c r="E38" s="2"/>
      <c r="F38" s="2"/>
      <c r="G38" s="273">
        <f t="shared" si="5"/>
        <v>0</v>
      </c>
      <c r="H38" s="273">
        <f t="shared" si="3"/>
        <v>0</v>
      </c>
      <c r="I38" s="273">
        <f t="shared" si="4"/>
        <v>0</v>
      </c>
    </row>
    <row r="39" spans="1:9" s="298" customFormat="1">
      <c r="A39" s="305"/>
      <c r="B39" s="146"/>
      <c r="C39" s="130" t="s">
        <v>462</v>
      </c>
      <c r="D39" s="124"/>
      <c r="E39" s="124"/>
      <c r="F39" s="124"/>
      <c r="G39" s="302"/>
      <c r="H39" s="463">
        <f>SUM(H29:H38)</f>
        <v>0</v>
      </c>
      <c r="I39" s="463">
        <f>SUM(I29:I38)</f>
        <v>0</v>
      </c>
    </row>
    <row r="40" spans="1:9" s="436" customFormat="1">
      <c r="A40" s="264"/>
      <c r="B40" s="265"/>
      <c r="C40" s="265"/>
      <c r="D40" s="265"/>
      <c r="E40" s="266"/>
      <c r="F40" s="268" t="s">
        <v>304</v>
      </c>
      <c r="G40" s="116" t="s">
        <v>584</v>
      </c>
      <c r="H40" s="105" t="s">
        <v>584</v>
      </c>
      <c r="I40" s="105" t="s">
        <v>584</v>
      </c>
    </row>
    <row r="41" spans="1:9" s="452" customFormat="1">
      <c r="A41" s="457"/>
      <c r="B41" s="458"/>
      <c r="C41" s="458"/>
      <c r="D41" s="458"/>
      <c r="E41" s="459"/>
      <c r="F41" s="289" t="s">
        <v>305</v>
      </c>
      <c r="G41" s="111" t="s">
        <v>346</v>
      </c>
      <c r="H41" s="111" t="s">
        <v>583</v>
      </c>
      <c r="I41" s="111" t="s">
        <v>585</v>
      </c>
    </row>
    <row r="42" spans="1:9" s="298" customFormat="1">
      <c r="A42" s="460"/>
      <c r="B42" s="464" t="s">
        <v>1013</v>
      </c>
      <c r="C42" s="461"/>
      <c r="D42" s="461"/>
      <c r="E42" s="465"/>
      <c r="F42" s="466"/>
      <c r="G42" s="460"/>
      <c r="H42" s="460"/>
      <c r="I42" s="460"/>
    </row>
    <row r="43" spans="1:9" s="298" customFormat="1">
      <c r="A43" s="11"/>
      <c r="B43" s="447" t="s">
        <v>535</v>
      </c>
      <c r="C43" s="14" t="s">
        <v>540</v>
      </c>
      <c r="D43" s="14"/>
      <c r="E43" s="17"/>
      <c r="F43" s="2"/>
      <c r="G43" s="462">
        <v>60</v>
      </c>
      <c r="H43" s="273">
        <f>(G43*F43)/2</f>
        <v>0</v>
      </c>
      <c r="I43" s="273">
        <f>H43/15</f>
        <v>0</v>
      </c>
    </row>
    <row r="44" spans="1:9" s="298" customFormat="1">
      <c r="A44" s="11"/>
      <c r="B44" s="447" t="s">
        <v>536</v>
      </c>
      <c r="C44" s="14" t="s">
        <v>540</v>
      </c>
      <c r="D44" s="14"/>
      <c r="E44" s="17"/>
      <c r="F44" s="2"/>
      <c r="G44" s="462">
        <v>60</v>
      </c>
      <c r="H44" s="273">
        <f>(G44*F44)/2</f>
        <v>0</v>
      </c>
      <c r="I44" s="273">
        <f>H44/15</f>
        <v>0</v>
      </c>
    </row>
    <row r="45" spans="1:9" s="298" customFormat="1">
      <c r="A45" s="11"/>
      <c r="B45" s="447" t="s">
        <v>537</v>
      </c>
      <c r="C45" s="14" t="s">
        <v>540</v>
      </c>
      <c r="D45" s="14"/>
      <c r="E45" s="17"/>
      <c r="F45" s="2"/>
      <c r="G45" s="462">
        <v>60</v>
      </c>
      <c r="H45" s="273">
        <f>(G45*F45)/2</f>
        <v>0</v>
      </c>
      <c r="I45" s="273">
        <f>H45/15</f>
        <v>0</v>
      </c>
    </row>
    <row r="46" spans="1:9" s="298" customFormat="1">
      <c r="A46" s="11"/>
      <c r="B46" s="447" t="s">
        <v>538</v>
      </c>
      <c r="C46" s="14" t="s">
        <v>540</v>
      </c>
      <c r="D46" s="14"/>
      <c r="E46" s="17"/>
      <c r="F46" s="2"/>
      <c r="G46" s="462">
        <v>60</v>
      </c>
      <c r="H46" s="273">
        <f>(G46*F46)/2</f>
        <v>0</v>
      </c>
      <c r="I46" s="273">
        <f>H46/15</f>
        <v>0</v>
      </c>
    </row>
    <row r="47" spans="1:9" s="298" customFormat="1">
      <c r="A47" s="11"/>
      <c r="B47" s="447" t="s">
        <v>539</v>
      </c>
      <c r="C47" s="72" t="s">
        <v>540</v>
      </c>
      <c r="D47" s="72"/>
      <c r="E47" s="19"/>
      <c r="F47" s="2"/>
      <c r="G47" s="462">
        <v>60</v>
      </c>
      <c r="H47" s="273">
        <f>(G47*F47)/2</f>
        <v>0</v>
      </c>
      <c r="I47" s="273">
        <f>H47/15</f>
        <v>0</v>
      </c>
    </row>
    <row r="48" spans="1:9" s="298" customFormat="1">
      <c r="A48" s="305"/>
      <c r="B48" s="146"/>
      <c r="C48" s="300"/>
      <c r="D48" s="300"/>
      <c r="E48" s="300" t="s">
        <v>462</v>
      </c>
      <c r="F48" s="124"/>
      <c r="G48" s="468"/>
      <c r="H48" s="303">
        <f>SUM(H43:H47)</f>
        <v>0</v>
      </c>
      <c r="I48" s="303">
        <f>SUM(I43:I47)</f>
        <v>0</v>
      </c>
    </row>
    <row r="49" spans="1:9" s="298" customFormat="1" ht="21" customHeight="1">
      <c r="A49" s="149"/>
      <c r="B49" s="132"/>
      <c r="C49" s="132"/>
      <c r="D49" s="132"/>
      <c r="E49" s="132"/>
      <c r="F49" s="132"/>
      <c r="G49" s="133" t="s">
        <v>609</v>
      </c>
      <c r="H49" s="136">
        <f>H39+H25+H48</f>
        <v>318.71999999999997</v>
      </c>
      <c r="I49" s="136">
        <f>I39+I25+I48</f>
        <v>21.247999999999998</v>
      </c>
    </row>
    <row r="50" spans="1:9" s="76" customFormat="1" ht="21" customHeight="1">
      <c r="A50" s="86">
        <v>1.2</v>
      </c>
      <c r="B50" s="87" t="s">
        <v>541</v>
      </c>
      <c r="C50" s="88"/>
      <c r="D50" s="89"/>
      <c r="E50" s="90"/>
      <c r="F50" s="90"/>
      <c r="G50" s="91"/>
      <c r="H50" s="194"/>
      <c r="I50" s="92"/>
    </row>
    <row r="51" spans="1:9" s="436" customFormat="1">
      <c r="A51" s="264"/>
      <c r="B51" s="265"/>
      <c r="C51" s="265"/>
      <c r="D51" s="265"/>
      <c r="E51" s="266"/>
      <c r="F51" s="268" t="s">
        <v>727</v>
      </c>
      <c r="G51" s="116" t="s">
        <v>584</v>
      </c>
      <c r="H51" s="105" t="s">
        <v>584</v>
      </c>
      <c r="I51" s="105" t="s">
        <v>584</v>
      </c>
    </row>
    <row r="52" spans="1:9" s="452" customFormat="1">
      <c r="A52" s="457"/>
      <c r="B52" s="458"/>
      <c r="C52" s="458"/>
      <c r="D52" s="458"/>
      <c r="E52" s="459"/>
      <c r="F52" s="469" t="s">
        <v>306</v>
      </c>
      <c r="G52" s="237" t="s">
        <v>346</v>
      </c>
      <c r="H52" s="237" t="s">
        <v>583</v>
      </c>
      <c r="I52" s="237" t="s">
        <v>585</v>
      </c>
    </row>
    <row r="53" spans="1:9" s="452" customFormat="1">
      <c r="A53" s="269"/>
      <c r="B53" s="270"/>
      <c r="C53" s="270"/>
      <c r="D53" s="270"/>
      <c r="E53" s="109"/>
      <c r="F53" s="470" t="s">
        <v>307</v>
      </c>
      <c r="G53" s="295"/>
      <c r="H53" s="295"/>
      <c r="I53" s="295"/>
    </row>
    <row r="54" spans="1:9" s="298" customFormat="1">
      <c r="A54" s="11"/>
      <c r="B54" s="446" t="s">
        <v>527</v>
      </c>
      <c r="C54" s="15" t="s">
        <v>532</v>
      </c>
      <c r="D54" s="15"/>
      <c r="E54" s="16"/>
      <c r="F54" s="2"/>
      <c r="G54" s="462">
        <v>45</v>
      </c>
      <c r="H54" s="273">
        <f>IF(F54&gt;=1,(G54*1)/2,IF(F54&lt;=0,0))</f>
        <v>0</v>
      </c>
      <c r="I54" s="273">
        <f>H54/15</f>
        <v>0</v>
      </c>
    </row>
    <row r="55" spans="1:9" s="298" customFormat="1">
      <c r="A55" s="11"/>
      <c r="B55" s="447" t="s">
        <v>528</v>
      </c>
      <c r="C55" s="14" t="s">
        <v>532</v>
      </c>
      <c r="D55" s="14"/>
      <c r="E55" s="17"/>
      <c r="F55" s="2"/>
      <c r="G55" s="462">
        <v>45</v>
      </c>
      <c r="H55" s="273">
        <f>IF(F55&gt;=1,(G55*1)/2,IF(F55&lt;=0,0))</f>
        <v>0</v>
      </c>
      <c r="I55" s="273">
        <f>H55/15</f>
        <v>0</v>
      </c>
    </row>
    <row r="56" spans="1:9" s="298" customFormat="1">
      <c r="A56" s="11"/>
      <c r="B56" s="447" t="s">
        <v>529</v>
      </c>
      <c r="C56" s="14" t="s">
        <v>532</v>
      </c>
      <c r="D56" s="14"/>
      <c r="E56" s="17"/>
      <c r="F56" s="2"/>
      <c r="G56" s="462">
        <v>45</v>
      </c>
      <c r="H56" s="273">
        <f>IF(F56&gt;=1,(G56*1)/2,IF(F56&lt;=0,0))</f>
        <v>0</v>
      </c>
      <c r="I56" s="273">
        <f>H56/15</f>
        <v>0</v>
      </c>
    </row>
    <row r="57" spans="1:9" s="298" customFormat="1">
      <c r="A57" s="11"/>
      <c r="B57" s="447" t="s">
        <v>530</v>
      </c>
      <c r="C57" s="14" t="s">
        <v>532</v>
      </c>
      <c r="D57" s="14"/>
      <c r="E57" s="17"/>
      <c r="F57" s="2"/>
      <c r="G57" s="462">
        <v>45</v>
      </c>
      <c r="H57" s="273">
        <f>IF(F57&gt;=1,(G57*1)/2,IF(F57&lt;=0,0))</f>
        <v>0</v>
      </c>
      <c r="I57" s="273">
        <f>H57/15</f>
        <v>0</v>
      </c>
    </row>
    <row r="58" spans="1:9" s="298" customFormat="1">
      <c r="A58" s="11"/>
      <c r="B58" s="472" t="s">
        <v>531</v>
      </c>
      <c r="C58" s="72" t="s">
        <v>532</v>
      </c>
      <c r="D58" s="72"/>
      <c r="E58" s="19"/>
      <c r="F58" s="2"/>
      <c r="G58" s="462">
        <v>45</v>
      </c>
      <c r="H58" s="273">
        <f>IF(F58&gt;=1,(G58*1)/2,IF(F58&lt;=0,0))</f>
        <v>0</v>
      </c>
      <c r="I58" s="273">
        <f>H58/15</f>
        <v>0</v>
      </c>
    </row>
    <row r="59" spans="1:9" s="298" customFormat="1">
      <c r="A59" s="305"/>
      <c r="B59" s="146"/>
      <c r="C59" s="300"/>
      <c r="D59" s="300"/>
      <c r="E59" s="300" t="s">
        <v>462</v>
      </c>
      <c r="F59" s="124"/>
      <c r="G59" s="468"/>
      <c r="H59" s="303">
        <f>SUM(H54:H58)</f>
        <v>0</v>
      </c>
      <c r="I59" s="303">
        <f>SUM(I54:I58)</f>
        <v>0</v>
      </c>
    </row>
    <row r="60" spans="1:9" s="298" customFormat="1">
      <c r="A60" s="443"/>
      <c r="B60" s="443"/>
      <c r="C60" s="443"/>
      <c r="D60" s="443"/>
      <c r="E60" s="443"/>
      <c r="F60" s="443"/>
      <c r="G60" s="475"/>
      <c r="H60" s="476"/>
      <c r="I60" s="476"/>
    </row>
    <row r="61" spans="1:9" s="298" customFormat="1">
      <c r="A61" s="477"/>
      <c r="B61" s="477"/>
      <c r="C61" s="478"/>
      <c r="D61" s="278"/>
      <c r="E61" s="477"/>
      <c r="F61" s="479"/>
      <c r="G61" s="479"/>
    </row>
    <row r="62" spans="1:9" s="76" customFormat="1" ht="21" customHeight="1">
      <c r="A62" s="79">
        <v>2</v>
      </c>
      <c r="B62" s="80" t="s">
        <v>542</v>
      </c>
      <c r="C62" s="81"/>
      <c r="D62" s="82"/>
      <c r="E62" s="83"/>
      <c r="F62" s="83"/>
      <c r="G62" s="84"/>
      <c r="H62" s="456"/>
      <c r="I62" s="85"/>
    </row>
    <row r="63" spans="1:9" s="76" customFormat="1" ht="21" customHeight="1">
      <c r="A63" s="86">
        <v>2.1</v>
      </c>
      <c r="B63" s="87" t="s">
        <v>1222</v>
      </c>
      <c r="C63" s="88"/>
      <c r="D63" s="89"/>
      <c r="E63" s="90"/>
      <c r="F63" s="90"/>
      <c r="G63" s="91"/>
      <c r="H63" s="194"/>
      <c r="I63" s="92"/>
    </row>
    <row r="64" spans="1:9" s="298" customFormat="1">
      <c r="A64" s="267"/>
      <c r="B64" s="100"/>
      <c r="C64" s="480"/>
      <c r="D64" s="268" t="s">
        <v>347</v>
      </c>
      <c r="E64" s="116" t="s">
        <v>287</v>
      </c>
      <c r="F64" s="105" t="s">
        <v>584</v>
      </c>
      <c r="G64" s="105" t="s">
        <v>584</v>
      </c>
      <c r="H64" s="1381" t="s">
        <v>474</v>
      </c>
      <c r="I64" s="1382"/>
    </row>
    <row r="65" spans="1:9" s="477" customFormat="1">
      <c r="A65" s="299"/>
      <c r="B65" s="290"/>
      <c r="C65" s="481"/>
      <c r="D65" s="473" t="s">
        <v>306</v>
      </c>
      <c r="E65" s="237"/>
      <c r="F65" s="237" t="s">
        <v>583</v>
      </c>
      <c r="G65" s="237" t="s">
        <v>585</v>
      </c>
      <c r="H65" s="482"/>
      <c r="I65" s="483"/>
    </row>
    <row r="66" spans="1:9" s="452" customFormat="1">
      <c r="A66" s="484"/>
      <c r="B66" s="485"/>
      <c r="C66" s="109"/>
      <c r="D66" s="470" t="s">
        <v>307</v>
      </c>
      <c r="E66" s="271"/>
      <c r="F66" s="470"/>
      <c r="G66" s="295"/>
      <c r="H66" s="486"/>
      <c r="I66" s="487"/>
    </row>
    <row r="67" spans="1:9" s="436" customFormat="1">
      <c r="A67" s="9"/>
      <c r="B67" s="488" t="s">
        <v>610</v>
      </c>
      <c r="C67" s="9"/>
      <c r="D67" s="489"/>
      <c r="E67" s="9"/>
      <c r="F67" s="9"/>
      <c r="G67" s="9"/>
      <c r="H67" s="447"/>
      <c r="I67" s="467"/>
    </row>
    <row r="68" spans="1:9" s="298" customFormat="1">
      <c r="A68" s="11"/>
      <c r="B68" s="447" t="s">
        <v>543</v>
      </c>
      <c r="C68" s="17" t="s">
        <v>548</v>
      </c>
      <c r="D68" s="2"/>
      <c r="E68" s="462">
        <v>45</v>
      </c>
      <c r="F68" s="273">
        <f>IF(D68&gt;=1,(1*E68)/2,IF(D68&lt;=0,0))</f>
        <v>0</v>
      </c>
      <c r="G68" s="273">
        <f>F68/15</f>
        <v>0</v>
      </c>
      <c r="H68" s="21" t="s">
        <v>549</v>
      </c>
      <c r="I68" s="23"/>
    </row>
    <row r="69" spans="1:9" s="298" customFormat="1">
      <c r="A69" s="11"/>
      <c r="B69" s="447" t="s">
        <v>544</v>
      </c>
      <c r="C69" s="17" t="s">
        <v>548</v>
      </c>
      <c r="D69" s="2"/>
      <c r="E69" s="462">
        <v>45</v>
      </c>
      <c r="F69" s="273">
        <f>IF(D69&gt;=1,(1*E69)/2,IF(D69&lt;=0,0))</f>
        <v>0</v>
      </c>
      <c r="G69" s="273">
        <f>F69/15</f>
        <v>0</v>
      </c>
      <c r="H69" s="21" t="s">
        <v>549</v>
      </c>
      <c r="I69" s="23"/>
    </row>
    <row r="70" spans="1:9" s="298" customFormat="1">
      <c r="A70" s="11"/>
      <c r="B70" s="447" t="s">
        <v>545</v>
      </c>
      <c r="C70" s="17" t="s">
        <v>548</v>
      </c>
      <c r="D70" s="2"/>
      <c r="E70" s="462">
        <v>45</v>
      </c>
      <c r="F70" s="273">
        <f>IF(D70&gt;=1,(1*E70)/2,IF(D70&lt;=0,0))</f>
        <v>0</v>
      </c>
      <c r="G70" s="273">
        <f>F70/15</f>
        <v>0</v>
      </c>
      <c r="H70" s="21" t="s">
        <v>549</v>
      </c>
      <c r="I70" s="23"/>
    </row>
    <row r="71" spans="1:9" s="298" customFormat="1">
      <c r="A71" s="11"/>
      <c r="B71" s="447" t="s">
        <v>546</v>
      </c>
      <c r="C71" s="17" t="s">
        <v>548</v>
      </c>
      <c r="D71" s="2"/>
      <c r="E71" s="462">
        <v>45</v>
      </c>
      <c r="F71" s="273">
        <f>IF(D71&gt;=1,(1*E71)/2,IF(D71&lt;=0,0))</f>
        <v>0</v>
      </c>
      <c r="G71" s="273">
        <f>F71/15</f>
        <v>0</v>
      </c>
      <c r="H71" s="21" t="s">
        <v>549</v>
      </c>
      <c r="I71" s="23"/>
    </row>
    <row r="72" spans="1:9" s="298" customFormat="1">
      <c r="A72" s="11"/>
      <c r="B72" s="447" t="s">
        <v>547</v>
      </c>
      <c r="C72" s="17" t="s">
        <v>548</v>
      </c>
      <c r="D72" s="2"/>
      <c r="E72" s="462">
        <v>45</v>
      </c>
      <c r="F72" s="273">
        <f>IF(D72&gt;=1,(1*E72)/2,IF(D72&lt;=0,0))</f>
        <v>0</v>
      </c>
      <c r="G72" s="273">
        <f>F72/15</f>
        <v>0</v>
      </c>
      <c r="H72" s="21" t="s">
        <v>549</v>
      </c>
      <c r="I72" s="23"/>
    </row>
    <row r="73" spans="1:9" s="298" customFormat="1">
      <c r="A73" s="305"/>
      <c r="B73" s="146"/>
      <c r="C73" s="300" t="s">
        <v>462</v>
      </c>
      <c r="D73" s="124"/>
      <c r="E73" s="468"/>
      <c r="F73" s="303">
        <f>SUM(F68:F72)</f>
        <v>0</v>
      </c>
      <c r="G73" s="303">
        <f>SUM(G68:G72)</f>
        <v>0</v>
      </c>
      <c r="H73" s="146"/>
      <c r="I73" s="490"/>
    </row>
    <row r="74" spans="1:9" s="436" customFormat="1">
      <c r="A74" s="491"/>
      <c r="B74" s="464" t="s">
        <v>550</v>
      </c>
      <c r="C74" s="471"/>
      <c r="D74" s="114"/>
      <c r="E74" s="491"/>
      <c r="F74" s="492"/>
      <c r="G74" s="492"/>
      <c r="H74" s="447"/>
      <c r="I74" s="467"/>
    </row>
    <row r="75" spans="1:9" s="298" customFormat="1">
      <c r="A75" s="11"/>
      <c r="B75" s="447" t="s">
        <v>543</v>
      </c>
      <c r="C75" s="17" t="s">
        <v>548</v>
      </c>
      <c r="D75" s="2"/>
      <c r="E75" s="462">
        <v>90</v>
      </c>
      <c r="F75" s="273">
        <f>IF(D75&gt;=1,(1*E75)/2,IF(D75&lt;=0,0))</f>
        <v>0</v>
      </c>
      <c r="G75" s="273">
        <f>F75/15</f>
        <v>0</v>
      </c>
      <c r="H75" s="21" t="s">
        <v>549</v>
      </c>
      <c r="I75" s="23"/>
    </row>
    <row r="76" spans="1:9" s="298" customFormat="1">
      <c r="A76" s="11"/>
      <c r="B76" s="447" t="s">
        <v>544</v>
      </c>
      <c r="C76" s="17" t="s">
        <v>548</v>
      </c>
      <c r="D76" s="2"/>
      <c r="E76" s="462">
        <v>90</v>
      </c>
      <c r="F76" s="273">
        <f>IF(D76&gt;=1,(1*E76)/2,IF(D76&lt;=0,0))</f>
        <v>0</v>
      </c>
      <c r="G76" s="273">
        <f>F76/15</f>
        <v>0</v>
      </c>
      <c r="H76" s="21" t="s">
        <v>549</v>
      </c>
      <c r="I76" s="23"/>
    </row>
    <row r="77" spans="1:9" s="298" customFormat="1">
      <c r="A77" s="11"/>
      <c r="B77" s="447" t="s">
        <v>545</v>
      </c>
      <c r="C77" s="17" t="s">
        <v>548</v>
      </c>
      <c r="D77" s="2"/>
      <c r="E77" s="462">
        <v>90</v>
      </c>
      <c r="F77" s="273">
        <f>IF(D77&gt;=1,(1*E77)/2,IF(D77&lt;=0,0))</f>
        <v>0</v>
      </c>
      <c r="G77" s="273">
        <f>F77/15</f>
        <v>0</v>
      </c>
      <c r="H77" s="21" t="s">
        <v>549</v>
      </c>
      <c r="I77" s="23"/>
    </row>
    <row r="78" spans="1:9" s="298" customFormat="1">
      <c r="A78" s="11"/>
      <c r="B78" s="447" t="s">
        <v>546</v>
      </c>
      <c r="C78" s="17" t="s">
        <v>548</v>
      </c>
      <c r="D78" s="2"/>
      <c r="E78" s="462">
        <v>90</v>
      </c>
      <c r="F78" s="273">
        <f>IF(D78&gt;=1,(1*E78)/2,IF(D78&lt;=0,0))</f>
        <v>0</v>
      </c>
      <c r="G78" s="273">
        <f>F78/15</f>
        <v>0</v>
      </c>
      <c r="H78" s="21" t="s">
        <v>549</v>
      </c>
      <c r="I78" s="23"/>
    </row>
    <row r="79" spans="1:9" s="298" customFormat="1">
      <c r="A79" s="11"/>
      <c r="B79" s="447" t="s">
        <v>547</v>
      </c>
      <c r="C79" s="17" t="s">
        <v>548</v>
      </c>
      <c r="D79" s="2"/>
      <c r="E79" s="462">
        <v>90</v>
      </c>
      <c r="F79" s="273">
        <f>IF(D79&gt;=1,(1*E79)/2,IF(D79&lt;=0,0))</f>
        <v>0</v>
      </c>
      <c r="G79" s="273">
        <f>F79/15</f>
        <v>0</v>
      </c>
      <c r="H79" s="21" t="s">
        <v>549</v>
      </c>
      <c r="I79" s="23"/>
    </row>
    <row r="80" spans="1:9" s="298" customFormat="1">
      <c r="A80" s="305"/>
      <c r="B80" s="146"/>
      <c r="C80" s="300" t="s">
        <v>462</v>
      </c>
      <c r="D80" s="124"/>
      <c r="E80" s="468"/>
      <c r="F80" s="303">
        <f>SUM(F75:F79)</f>
        <v>0</v>
      </c>
      <c r="G80" s="303">
        <f>SUM(G75:G79)</f>
        <v>0</v>
      </c>
      <c r="H80" s="146"/>
      <c r="I80" s="490"/>
    </row>
    <row r="81" spans="1:9" s="298" customFormat="1" ht="21" customHeight="1">
      <c r="A81" s="131"/>
      <c r="B81" s="132"/>
      <c r="C81" s="132"/>
      <c r="D81" s="132"/>
      <c r="E81" s="133" t="s">
        <v>614</v>
      </c>
      <c r="F81" s="454">
        <f>F73+F80</f>
        <v>0</v>
      </c>
      <c r="G81" s="454">
        <f>G73+G80</f>
        <v>0</v>
      </c>
      <c r="H81" s="493"/>
      <c r="I81" s="494"/>
    </row>
    <row r="82" spans="1:9" s="76" customFormat="1" ht="21" customHeight="1">
      <c r="A82" s="86">
        <v>2.2000000000000002</v>
      </c>
      <c r="B82" s="87" t="s">
        <v>906</v>
      </c>
      <c r="C82" s="88"/>
      <c r="D82" s="89"/>
      <c r="E82" s="90"/>
      <c r="F82" s="90"/>
      <c r="G82" s="91"/>
      <c r="H82" s="194"/>
      <c r="I82" s="92"/>
    </row>
    <row r="83" spans="1:9" s="298" customFormat="1">
      <c r="A83" s="100"/>
      <c r="B83" s="495"/>
      <c r="C83" s="480"/>
      <c r="D83" s="268" t="s">
        <v>347</v>
      </c>
      <c r="E83" s="116" t="s">
        <v>287</v>
      </c>
      <c r="F83" s="105" t="s">
        <v>584</v>
      </c>
      <c r="G83" s="105" t="s">
        <v>584</v>
      </c>
      <c r="H83" s="1381" t="s">
        <v>474</v>
      </c>
      <c r="I83" s="1382"/>
    </row>
    <row r="84" spans="1:9" s="477" customFormat="1">
      <c r="A84" s="290"/>
      <c r="B84" s="496"/>
      <c r="C84" s="481"/>
      <c r="D84" s="473" t="s">
        <v>306</v>
      </c>
      <c r="E84" s="237"/>
      <c r="F84" s="237" t="s">
        <v>583</v>
      </c>
      <c r="G84" s="237" t="s">
        <v>585</v>
      </c>
      <c r="H84" s="482"/>
      <c r="I84" s="483"/>
    </row>
    <row r="85" spans="1:9" s="452" customFormat="1">
      <c r="A85" s="269"/>
      <c r="B85" s="270"/>
      <c r="C85" s="109"/>
      <c r="D85" s="470" t="s">
        <v>307</v>
      </c>
      <c r="E85" s="271"/>
      <c r="F85" s="470"/>
      <c r="G85" s="295"/>
      <c r="H85" s="486"/>
      <c r="I85" s="487"/>
    </row>
    <row r="86" spans="1:9" s="436" customFormat="1">
      <c r="A86" s="9"/>
      <c r="B86" s="497" t="s">
        <v>308</v>
      </c>
      <c r="C86" s="9"/>
      <c r="D86" s="9"/>
      <c r="E86" s="9"/>
      <c r="F86" s="9"/>
      <c r="G86" s="9"/>
      <c r="H86" s="447"/>
      <c r="I86" s="467"/>
    </row>
    <row r="87" spans="1:9" s="436" customFormat="1" ht="14.25" customHeight="1">
      <c r="A87" s="9"/>
      <c r="B87" s="498" t="s">
        <v>611</v>
      </c>
      <c r="C87" s="9"/>
      <c r="D87" s="9"/>
      <c r="E87" s="9"/>
      <c r="F87" s="9"/>
      <c r="G87" s="9"/>
      <c r="H87" s="447"/>
      <c r="I87" s="467"/>
    </row>
    <row r="88" spans="1:9" s="298" customFormat="1">
      <c r="A88" s="11"/>
      <c r="B88" s="9" t="s">
        <v>543</v>
      </c>
      <c r="C88" s="8" t="s">
        <v>548</v>
      </c>
      <c r="D88" s="2"/>
      <c r="E88" s="499">
        <v>22.5</v>
      </c>
      <c r="F88" s="273">
        <f>IF(D88&gt;=1,(1*E88)/2,IF(D88&lt;=0,0))</f>
        <v>0</v>
      </c>
      <c r="G88" s="273">
        <f>F88/15</f>
        <v>0</v>
      </c>
      <c r="H88" s="21" t="s">
        <v>774</v>
      </c>
      <c r="I88" s="23"/>
    </row>
    <row r="89" spans="1:9" s="298" customFormat="1">
      <c r="A89" s="11"/>
      <c r="B89" s="9" t="s">
        <v>544</v>
      </c>
      <c r="C89" s="8" t="s">
        <v>548</v>
      </c>
      <c r="D89" s="2"/>
      <c r="E89" s="499">
        <v>22.5</v>
      </c>
      <c r="F89" s="273">
        <f>IF(D89&gt;=1,(1*E89)/2,IF(D89&lt;=0,0))</f>
        <v>0</v>
      </c>
      <c r="G89" s="273">
        <f>F89/15</f>
        <v>0</v>
      </c>
      <c r="H89" s="21" t="s">
        <v>774</v>
      </c>
      <c r="I89" s="23"/>
    </row>
    <row r="90" spans="1:9" s="298" customFormat="1">
      <c r="A90" s="11"/>
      <c r="B90" s="9" t="s">
        <v>545</v>
      </c>
      <c r="C90" s="8" t="s">
        <v>548</v>
      </c>
      <c r="D90" s="2"/>
      <c r="E90" s="499">
        <v>22.5</v>
      </c>
      <c r="F90" s="273">
        <f>IF(D90&gt;=1,(1*E90)/2,IF(D90&lt;=0,0))</f>
        <v>0</v>
      </c>
      <c r="G90" s="273">
        <f>F90/15</f>
        <v>0</v>
      </c>
      <c r="H90" s="21" t="s">
        <v>774</v>
      </c>
      <c r="I90" s="23"/>
    </row>
    <row r="91" spans="1:9" s="298" customFormat="1">
      <c r="A91" s="11"/>
      <c r="B91" s="9" t="s">
        <v>546</v>
      </c>
      <c r="C91" s="8" t="s">
        <v>548</v>
      </c>
      <c r="D91" s="2"/>
      <c r="E91" s="499">
        <v>22.5</v>
      </c>
      <c r="F91" s="273">
        <f>IF(D91&gt;=1,(1*E91)/2,IF(D91&lt;=0,0))</f>
        <v>0</v>
      </c>
      <c r="G91" s="273">
        <f>F91/15</f>
        <v>0</v>
      </c>
      <c r="H91" s="21" t="s">
        <v>774</v>
      </c>
      <c r="I91" s="23"/>
    </row>
    <row r="92" spans="1:9" s="298" customFormat="1">
      <c r="A92" s="11"/>
      <c r="B92" s="9" t="s">
        <v>547</v>
      </c>
      <c r="C92" s="8" t="s">
        <v>548</v>
      </c>
      <c r="D92" s="2"/>
      <c r="E92" s="499">
        <v>22.5</v>
      </c>
      <c r="F92" s="273">
        <f>IF(D92&gt;=1,(1*E92)/2,IF(D92&lt;=0,0))</f>
        <v>0</v>
      </c>
      <c r="G92" s="273">
        <f>F92/15</f>
        <v>0</v>
      </c>
      <c r="H92" s="21" t="s">
        <v>774</v>
      </c>
      <c r="I92" s="23"/>
    </row>
    <row r="93" spans="1:9" s="298" customFormat="1">
      <c r="A93" s="305"/>
      <c r="B93" s="500"/>
      <c r="C93" s="300" t="s">
        <v>462</v>
      </c>
      <c r="D93" s="124"/>
      <c r="E93" s="501"/>
      <c r="F93" s="303">
        <f>SUM(F88:F92)</f>
        <v>0</v>
      </c>
      <c r="G93" s="303">
        <f>SUM(G88:G92)</f>
        <v>0</v>
      </c>
      <c r="H93" s="146"/>
      <c r="I93" s="490"/>
    </row>
    <row r="94" spans="1:9" s="436" customFormat="1" ht="14.25" customHeight="1">
      <c r="A94" s="9"/>
      <c r="B94" s="498" t="s">
        <v>612</v>
      </c>
      <c r="C94" s="9"/>
      <c r="D94" s="117"/>
      <c r="E94" s="273"/>
      <c r="F94" s="273"/>
      <c r="G94" s="273"/>
      <c r="H94" s="447"/>
      <c r="I94" s="467"/>
    </row>
    <row r="95" spans="1:9" s="298" customFormat="1">
      <c r="A95" s="11"/>
      <c r="B95" s="9" t="s">
        <v>543</v>
      </c>
      <c r="C95" s="8" t="s">
        <v>548</v>
      </c>
      <c r="D95" s="2"/>
      <c r="E95" s="499">
        <v>7.5</v>
      </c>
      <c r="F95" s="273">
        <f>IF(D95&gt;=1,(1*E95)/2,IF(D95&lt;=0,0))</f>
        <v>0</v>
      </c>
      <c r="G95" s="273">
        <f>F95/15</f>
        <v>0</v>
      </c>
      <c r="H95" s="21" t="s">
        <v>774</v>
      </c>
      <c r="I95" s="23"/>
    </row>
    <row r="96" spans="1:9" s="298" customFormat="1">
      <c r="A96" s="11"/>
      <c r="B96" s="9" t="s">
        <v>544</v>
      </c>
      <c r="C96" s="8" t="s">
        <v>548</v>
      </c>
      <c r="D96" s="2"/>
      <c r="E96" s="499">
        <v>7.5</v>
      </c>
      <c r="F96" s="273">
        <f>IF(D96&gt;=1,(1*E96)/2,IF(D96&lt;=0,0))</f>
        <v>0</v>
      </c>
      <c r="G96" s="273">
        <f>F96/15</f>
        <v>0</v>
      </c>
      <c r="H96" s="21" t="s">
        <v>774</v>
      </c>
      <c r="I96" s="23"/>
    </row>
    <row r="97" spans="1:9" s="298" customFormat="1">
      <c r="A97" s="11"/>
      <c r="B97" s="9" t="s">
        <v>545</v>
      </c>
      <c r="C97" s="8" t="s">
        <v>548</v>
      </c>
      <c r="D97" s="2"/>
      <c r="E97" s="499">
        <v>7.5</v>
      </c>
      <c r="F97" s="273">
        <f>IF(D97&gt;=1,(1*E97)/2,IF(D97&lt;=0,0))</f>
        <v>0</v>
      </c>
      <c r="G97" s="273">
        <f>F97/15</f>
        <v>0</v>
      </c>
      <c r="H97" s="21" t="s">
        <v>774</v>
      </c>
      <c r="I97" s="23"/>
    </row>
    <row r="98" spans="1:9" s="298" customFormat="1">
      <c r="A98" s="11"/>
      <c r="B98" s="9" t="s">
        <v>546</v>
      </c>
      <c r="C98" s="8" t="s">
        <v>548</v>
      </c>
      <c r="D98" s="2"/>
      <c r="E98" s="499">
        <v>7.5</v>
      </c>
      <c r="F98" s="273">
        <f>IF(D98&gt;=1,(1*E98)/2,IF(D98&lt;=0,0))</f>
        <v>0</v>
      </c>
      <c r="G98" s="273">
        <f>F98/15</f>
        <v>0</v>
      </c>
      <c r="H98" s="21" t="s">
        <v>774</v>
      </c>
      <c r="I98" s="23"/>
    </row>
    <row r="99" spans="1:9" s="298" customFormat="1">
      <c r="A99" s="11"/>
      <c r="B99" s="9" t="s">
        <v>547</v>
      </c>
      <c r="C99" s="8" t="s">
        <v>548</v>
      </c>
      <c r="D99" s="2"/>
      <c r="E99" s="499">
        <v>7.5</v>
      </c>
      <c r="F99" s="273">
        <f>IF(D99&gt;=1,(1*E99)/2,IF(D99&lt;=0,0))</f>
        <v>0</v>
      </c>
      <c r="G99" s="273">
        <f>F99/15</f>
        <v>0</v>
      </c>
      <c r="H99" s="21" t="s">
        <v>774</v>
      </c>
      <c r="I99" s="23"/>
    </row>
    <row r="100" spans="1:9" s="298" customFormat="1">
      <c r="A100" s="305"/>
      <c r="B100" s="500"/>
      <c r="C100" s="300" t="s">
        <v>462</v>
      </c>
      <c r="D100" s="124"/>
      <c r="E100" s="501"/>
      <c r="F100" s="303">
        <f>SUM(F95:F99)</f>
        <v>0</v>
      </c>
      <c r="G100" s="303">
        <f>SUM(G95:G99)</f>
        <v>0</v>
      </c>
      <c r="H100" s="146"/>
      <c r="I100" s="490"/>
    </row>
    <row r="101" spans="1:9" s="436" customFormat="1">
      <c r="A101" s="9"/>
      <c r="B101" s="502" t="s">
        <v>613</v>
      </c>
      <c r="C101" s="9"/>
      <c r="D101" s="117"/>
      <c r="E101" s="273"/>
      <c r="F101" s="273"/>
      <c r="G101" s="273"/>
      <c r="H101" s="447"/>
      <c r="I101" s="467"/>
    </row>
    <row r="102" spans="1:9" s="436" customFormat="1" ht="14.25" customHeight="1">
      <c r="A102" s="9"/>
      <c r="B102" s="498" t="s">
        <v>611</v>
      </c>
      <c r="C102" s="9"/>
      <c r="D102" s="117"/>
      <c r="E102" s="273"/>
      <c r="F102" s="273"/>
      <c r="G102" s="273"/>
      <c r="H102" s="447"/>
      <c r="I102" s="467"/>
    </row>
    <row r="103" spans="1:9" s="298" customFormat="1">
      <c r="A103" s="11"/>
      <c r="B103" s="9" t="s">
        <v>543</v>
      </c>
      <c r="C103" s="8" t="s">
        <v>548</v>
      </c>
      <c r="D103" s="2"/>
      <c r="E103" s="272">
        <v>30</v>
      </c>
      <c r="F103" s="273">
        <f>IF(D103&gt;=1,(1*E103)/2,IF(D103&lt;=0,0))</f>
        <v>0</v>
      </c>
      <c r="G103" s="273">
        <f>F103/15</f>
        <v>0</v>
      </c>
      <c r="H103" s="21" t="s">
        <v>774</v>
      </c>
      <c r="I103" s="23"/>
    </row>
    <row r="104" spans="1:9" s="298" customFormat="1">
      <c r="A104" s="11"/>
      <c r="B104" s="9" t="s">
        <v>544</v>
      </c>
      <c r="C104" s="8" t="s">
        <v>548</v>
      </c>
      <c r="D104" s="2"/>
      <c r="E104" s="272">
        <v>30</v>
      </c>
      <c r="F104" s="273">
        <f>IF(D104&gt;=1,(1*E104)/2,IF(D104&lt;=0,0))</f>
        <v>0</v>
      </c>
      <c r="G104" s="273">
        <f>F104/15</f>
        <v>0</v>
      </c>
      <c r="H104" s="21" t="s">
        <v>774</v>
      </c>
      <c r="I104" s="23"/>
    </row>
    <row r="105" spans="1:9" s="298" customFormat="1">
      <c r="A105" s="11"/>
      <c r="B105" s="9" t="s">
        <v>545</v>
      </c>
      <c r="C105" s="8" t="s">
        <v>548</v>
      </c>
      <c r="D105" s="2"/>
      <c r="E105" s="272">
        <v>30</v>
      </c>
      <c r="F105" s="273">
        <f>IF(D105&gt;=1,(1*E105)/2,IF(D105&lt;=0,0))</f>
        <v>0</v>
      </c>
      <c r="G105" s="273">
        <f>F105/15</f>
        <v>0</v>
      </c>
      <c r="H105" s="21" t="s">
        <v>774</v>
      </c>
      <c r="I105" s="23"/>
    </row>
    <row r="106" spans="1:9" s="298" customFormat="1">
      <c r="A106" s="11"/>
      <c r="B106" s="9" t="s">
        <v>546</v>
      </c>
      <c r="C106" s="8" t="s">
        <v>548</v>
      </c>
      <c r="D106" s="2"/>
      <c r="E106" s="272">
        <v>30</v>
      </c>
      <c r="F106" s="273">
        <f>IF(D106&gt;=1,(1*E106)/2,IF(D106&lt;=0,0))</f>
        <v>0</v>
      </c>
      <c r="G106" s="273">
        <f>F106/15</f>
        <v>0</v>
      </c>
      <c r="H106" s="21" t="s">
        <v>774</v>
      </c>
      <c r="I106" s="23"/>
    </row>
    <row r="107" spans="1:9" s="298" customFormat="1">
      <c r="A107" s="11"/>
      <c r="B107" s="9" t="s">
        <v>547</v>
      </c>
      <c r="C107" s="8" t="s">
        <v>548</v>
      </c>
      <c r="D107" s="2"/>
      <c r="E107" s="272">
        <v>30</v>
      </c>
      <c r="F107" s="273">
        <f>IF(D107&gt;=1,(1*E107)/2,IF(D107&lt;=0,0))</f>
        <v>0</v>
      </c>
      <c r="G107" s="273">
        <f>F107/15</f>
        <v>0</v>
      </c>
      <c r="H107" s="21" t="s">
        <v>774</v>
      </c>
      <c r="I107" s="23"/>
    </row>
    <row r="108" spans="1:9" s="298" customFormat="1">
      <c r="A108" s="305"/>
      <c r="B108" s="500"/>
      <c r="C108" s="300" t="s">
        <v>462</v>
      </c>
      <c r="D108" s="124"/>
      <c r="E108" s="503"/>
      <c r="F108" s="303">
        <f>SUM(F103:F107)</f>
        <v>0</v>
      </c>
      <c r="G108" s="303">
        <f>SUM(G103:G107)</f>
        <v>0</v>
      </c>
      <c r="H108" s="146"/>
      <c r="I108" s="490"/>
    </row>
    <row r="109" spans="1:9" s="436" customFormat="1" ht="14.25" customHeight="1">
      <c r="A109" s="9"/>
      <c r="B109" s="498" t="s">
        <v>612</v>
      </c>
      <c r="C109" s="9"/>
      <c r="D109" s="117"/>
      <c r="E109" s="273"/>
      <c r="F109" s="273"/>
      <c r="G109" s="273"/>
      <c r="H109" s="447"/>
      <c r="I109" s="467"/>
    </row>
    <row r="110" spans="1:9" s="298" customFormat="1">
      <c r="A110" s="11"/>
      <c r="B110" s="9" t="s">
        <v>543</v>
      </c>
      <c r="C110" s="8" t="s">
        <v>548</v>
      </c>
      <c r="D110" s="2"/>
      <c r="E110" s="499">
        <v>10.5</v>
      </c>
      <c r="F110" s="273">
        <f>IF(D110&gt;=1,(1*E110)/2,IF(D110&lt;=0,0))</f>
        <v>0</v>
      </c>
      <c r="G110" s="273">
        <f>F110/15</f>
        <v>0</v>
      </c>
      <c r="H110" s="21" t="s">
        <v>774</v>
      </c>
      <c r="I110" s="23"/>
    </row>
    <row r="111" spans="1:9" s="298" customFormat="1">
      <c r="A111" s="11"/>
      <c r="B111" s="9" t="s">
        <v>544</v>
      </c>
      <c r="C111" s="8" t="s">
        <v>548</v>
      </c>
      <c r="D111" s="2"/>
      <c r="E111" s="499">
        <v>10.5</v>
      </c>
      <c r="F111" s="273">
        <f>IF(D111&gt;=1,(1*E111)/2,IF(D111&lt;=0,0))</f>
        <v>0</v>
      </c>
      <c r="G111" s="273">
        <f>F111/15</f>
        <v>0</v>
      </c>
      <c r="H111" s="21" t="s">
        <v>774</v>
      </c>
      <c r="I111" s="23"/>
    </row>
    <row r="112" spans="1:9" s="298" customFormat="1">
      <c r="A112" s="11"/>
      <c r="B112" s="9" t="s">
        <v>545</v>
      </c>
      <c r="C112" s="8" t="s">
        <v>548</v>
      </c>
      <c r="D112" s="2"/>
      <c r="E112" s="499">
        <v>10.5</v>
      </c>
      <c r="F112" s="273">
        <f>IF(D112&gt;=1,(1*E112)/2,IF(D112&lt;=0,0))</f>
        <v>0</v>
      </c>
      <c r="G112" s="273">
        <f>F112/15</f>
        <v>0</v>
      </c>
      <c r="H112" s="21" t="s">
        <v>774</v>
      </c>
      <c r="I112" s="23"/>
    </row>
    <row r="113" spans="1:9" s="298" customFormat="1">
      <c r="A113" s="11"/>
      <c r="B113" s="9" t="s">
        <v>546</v>
      </c>
      <c r="C113" s="8" t="s">
        <v>548</v>
      </c>
      <c r="D113" s="2"/>
      <c r="E113" s="499">
        <v>10.5</v>
      </c>
      <c r="F113" s="273">
        <f>IF(D113&gt;=1,(1*E113)/2,IF(D113&lt;=0,0))</f>
        <v>0</v>
      </c>
      <c r="G113" s="273">
        <f>F113/15</f>
        <v>0</v>
      </c>
      <c r="H113" s="21" t="s">
        <v>774</v>
      </c>
      <c r="I113" s="23"/>
    </row>
    <row r="114" spans="1:9" s="298" customFormat="1">
      <c r="A114" s="11"/>
      <c r="B114" s="9" t="s">
        <v>547</v>
      </c>
      <c r="C114" s="8" t="s">
        <v>548</v>
      </c>
      <c r="D114" s="2"/>
      <c r="E114" s="499">
        <v>10.5</v>
      </c>
      <c r="F114" s="273">
        <f>IF(D114&gt;=1,(1*E114)/2,IF(D114&lt;=0,0))</f>
        <v>0</v>
      </c>
      <c r="G114" s="273">
        <f>F114/15</f>
        <v>0</v>
      </c>
      <c r="H114" s="21" t="s">
        <v>774</v>
      </c>
      <c r="I114" s="23"/>
    </row>
    <row r="115" spans="1:9" s="298" customFormat="1">
      <c r="A115" s="305"/>
      <c r="B115" s="500"/>
      <c r="C115" s="300" t="s">
        <v>462</v>
      </c>
      <c r="D115" s="124"/>
      <c r="E115" s="501"/>
      <c r="F115" s="303">
        <f>SUM(F110:F114)</f>
        <v>0</v>
      </c>
      <c r="G115" s="303">
        <f>SUM(G110:G114)</f>
        <v>0</v>
      </c>
      <c r="H115" s="146"/>
      <c r="I115" s="490"/>
    </row>
    <row r="116" spans="1:9" s="298" customFormat="1" ht="21" customHeight="1">
      <c r="A116" s="131"/>
      <c r="B116" s="132"/>
      <c r="C116" s="132"/>
      <c r="D116" s="132"/>
      <c r="E116" s="504" t="s">
        <v>615</v>
      </c>
      <c r="F116" s="454">
        <f>F93+F100+F108+F115</f>
        <v>0</v>
      </c>
      <c r="G116" s="454">
        <f>G93+G100+G108+G115</f>
        <v>0</v>
      </c>
      <c r="H116" s="493"/>
      <c r="I116" s="494"/>
    </row>
    <row r="117" spans="1:9" s="76" customFormat="1" ht="21" customHeight="1">
      <c r="A117" s="86">
        <v>2.2999999999999998</v>
      </c>
      <c r="B117" s="87" t="s">
        <v>1218</v>
      </c>
      <c r="C117" s="87"/>
      <c r="D117" s="87"/>
      <c r="E117" s="87"/>
      <c r="F117" s="87"/>
      <c r="G117" s="87"/>
      <c r="H117" s="87"/>
      <c r="I117" s="181"/>
    </row>
    <row r="118" spans="1:9" s="298" customFormat="1">
      <c r="A118" s="100"/>
      <c r="B118" s="495"/>
      <c r="C118" s="480"/>
      <c r="D118" s="267" t="s">
        <v>664</v>
      </c>
      <c r="E118" s="116" t="s">
        <v>287</v>
      </c>
      <c r="F118" s="105" t="s">
        <v>584</v>
      </c>
      <c r="G118" s="105" t="s">
        <v>584</v>
      </c>
      <c r="H118" s="1381" t="s">
        <v>474</v>
      </c>
      <c r="I118" s="1382"/>
    </row>
    <row r="119" spans="1:9" s="298" customFormat="1">
      <c r="A119" s="290"/>
      <c r="B119" s="496"/>
      <c r="C119" s="481"/>
      <c r="D119" s="473" t="s">
        <v>306</v>
      </c>
      <c r="E119" s="237"/>
      <c r="F119" s="237" t="s">
        <v>583</v>
      </c>
      <c r="G119" s="237" t="s">
        <v>585</v>
      </c>
      <c r="H119" s="482"/>
      <c r="I119" s="483"/>
    </row>
    <row r="120" spans="1:9" s="298" customFormat="1">
      <c r="A120" s="277"/>
      <c r="B120" s="505"/>
      <c r="C120" s="506"/>
      <c r="D120" s="470" t="s">
        <v>307</v>
      </c>
      <c r="E120" s="507"/>
      <c r="F120" s="507"/>
      <c r="G120" s="508"/>
      <c r="H120" s="509"/>
      <c r="I120" s="510"/>
    </row>
    <row r="121" spans="1:9" s="436" customFormat="1">
      <c r="A121" s="9"/>
      <c r="B121" s="511" t="s">
        <v>616</v>
      </c>
      <c r="C121" s="437"/>
      <c r="D121" s="512"/>
      <c r="E121" s="9"/>
      <c r="F121" s="9"/>
      <c r="G121" s="9"/>
      <c r="H121" s="447"/>
      <c r="I121" s="467"/>
    </row>
    <row r="122" spans="1:9" s="298" customFormat="1">
      <c r="A122" s="11"/>
      <c r="B122" s="437" t="s">
        <v>551</v>
      </c>
      <c r="C122" s="14" t="s">
        <v>556</v>
      </c>
      <c r="D122" s="2"/>
      <c r="E122" s="513">
        <v>30</v>
      </c>
      <c r="F122" s="273">
        <f>IF(D122&gt;=1,E122,IF(D122=0,0,(D122*E122)/2))</f>
        <v>0</v>
      </c>
      <c r="G122" s="273">
        <f>F122/15</f>
        <v>0</v>
      </c>
      <c r="H122" s="21" t="s">
        <v>775</v>
      </c>
      <c r="I122" s="23"/>
    </row>
    <row r="123" spans="1:9" s="298" customFormat="1">
      <c r="A123" s="11"/>
      <c r="B123" s="437" t="s">
        <v>552</v>
      </c>
      <c r="C123" s="14" t="s">
        <v>556</v>
      </c>
      <c r="D123" s="2"/>
      <c r="E123" s="513">
        <v>30</v>
      </c>
      <c r="F123" s="273">
        <f>IF(D123&gt;=1,E123,IF(D123=0,0,(D123*E123)/2))</f>
        <v>0</v>
      </c>
      <c r="G123" s="273">
        <f>F123/15</f>
        <v>0</v>
      </c>
      <c r="H123" s="21" t="s">
        <v>775</v>
      </c>
      <c r="I123" s="23"/>
    </row>
    <row r="124" spans="1:9" s="298" customFormat="1">
      <c r="A124" s="11"/>
      <c r="B124" s="437" t="s">
        <v>553</v>
      </c>
      <c r="C124" s="14" t="s">
        <v>556</v>
      </c>
      <c r="D124" s="2"/>
      <c r="E124" s="513">
        <v>30</v>
      </c>
      <c r="F124" s="273">
        <f>IF(D124&gt;=1,E124,IF(D124=0,0,(D124*E124)/2))</f>
        <v>0</v>
      </c>
      <c r="G124" s="273">
        <f>F124/15</f>
        <v>0</v>
      </c>
      <c r="H124" s="21" t="s">
        <v>775</v>
      </c>
      <c r="I124" s="23"/>
    </row>
    <row r="125" spans="1:9" s="298" customFormat="1">
      <c r="A125" s="11"/>
      <c r="B125" s="437" t="s">
        <v>554</v>
      </c>
      <c r="C125" s="14" t="s">
        <v>556</v>
      </c>
      <c r="D125" s="2"/>
      <c r="E125" s="513">
        <v>30</v>
      </c>
      <c r="F125" s="273">
        <f>IF(D125&gt;=1,E125,IF(D125=0,0,(D125*E125)/2))</f>
        <v>0</v>
      </c>
      <c r="G125" s="273">
        <f>F125/15</f>
        <v>0</v>
      </c>
      <c r="H125" s="21" t="s">
        <v>775</v>
      </c>
      <c r="I125" s="23"/>
    </row>
    <row r="126" spans="1:9" s="298" customFormat="1">
      <c r="A126" s="11"/>
      <c r="B126" s="437" t="s">
        <v>555</v>
      </c>
      <c r="C126" s="14" t="s">
        <v>556</v>
      </c>
      <c r="D126" s="2"/>
      <c r="E126" s="513">
        <v>30</v>
      </c>
      <c r="F126" s="273">
        <f>IF(D126&gt;=1,E126,IF(D126=0,0,(D126*E126)/2))</f>
        <v>0</v>
      </c>
      <c r="G126" s="273">
        <f>F126/15</f>
        <v>0</v>
      </c>
      <c r="H126" s="21" t="s">
        <v>775</v>
      </c>
      <c r="I126" s="23"/>
    </row>
    <row r="127" spans="1:9" s="298" customFormat="1">
      <c r="A127" s="11"/>
      <c r="B127" s="146"/>
      <c r="C127" s="300" t="s">
        <v>462</v>
      </c>
      <c r="D127" s="124"/>
      <c r="E127" s="468"/>
      <c r="F127" s="303">
        <f>SUM(F122:F126)</f>
        <v>0</v>
      </c>
      <c r="G127" s="303">
        <f>SUM(G122:G126)</f>
        <v>0</v>
      </c>
      <c r="H127" s="146"/>
      <c r="I127" s="490"/>
    </row>
    <row r="128" spans="1:9" s="436" customFormat="1">
      <c r="A128" s="9"/>
      <c r="B128" s="511" t="s">
        <v>617</v>
      </c>
      <c r="D128" s="117"/>
      <c r="E128" s="513"/>
      <c r="F128" s="273"/>
      <c r="G128" s="273"/>
      <c r="H128" s="447"/>
      <c r="I128" s="467"/>
    </row>
    <row r="129" spans="1:9" s="298" customFormat="1">
      <c r="A129" s="11"/>
      <c r="B129" s="437" t="s">
        <v>551</v>
      </c>
      <c r="C129" s="14" t="s">
        <v>556</v>
      </c>
      <c r="D129" s="2"/>
      <c r="E129" s="513">
        <v>60</v>
      </c>
      <c r="F129" s="273">
        <f>IF(D129&gt;=1,E129,IF(D129=0,0,(D129*E129)/2))</f>
        <v>0</v>
      </c>
      <c r="G129" s="273">
        <f>F129/15</f>
        <v>0</v>
      </c>
      <c r="H129" s="21" t="s">
        <v>775</v>
      </c>
      <c r="I129" s="23"/>
    </row>
    <row r="130" spans="1:9" s="298" customFormat="1">
      <c r="A130" s="11"/>
      <c r="B130" s="437" t="s">
        <v>552</v>
      </c>
      <c r="C130" s="14" t="s">
        <v>556</v>
      </c>
      <c r="D130" s="2"/>
      <c r="E130" s="513">
        <v>60</v>
      </c>
      <c r="F130" s="273">
        <f>IF(D130&gt;=1,E130,IF(D130=0,0,(D130*E130)/2))</f>
        <v>0</v>
      </c>
      <c r="G130" s="273">
        <f>F130/15</f>
        <v>0</v>
      </c>
      <c r="H130" s="21" t="s">
        <v>775</v>
      </c>
      <c r="I130" s="23"/>
    </row>
    <row r="131" spans="1:9" s="298" customFormat="1">
      <c r="A131" s="11"/>
      <c r="B131" s="437" t="s">
        <v>553</v>
      </c>
      <c r="C131" s="14" t="s">
        <v>556</v>
      </c>
      <c r="D131" s="2"/>
      <c r="E131" s="513">
        <v>60</v>
      </c>
      <c r="F131" s="273">
        <f>IF(D131&gt;=1,E131,IF(D131=0,0,(D131*E131)/2))</f>
        <v>0</v>
      </c>
      <c r="G131" s="273">
        <f>F131/15</f>
        <v>0</v>
      </c>
      <c r="H131" s="21" t="s">
        <v>775</v>
      </c>
      <c r="I131" s="23"/>
    </row>
    <row r="132" spans="1:9" s="298" customFormat="1">
      <c r="A132" s="11"/>
      <c r="B132" s="437" t="s">
        <v>554</v>
      </c>
      <c r="C132" s="14" t="s">
        <v>556</v>
      </c>
      <c r="D132" s="2"/>
      <c r="E132" s="513">
        <v>60</v>
      </c>
      <c r="F132" s="273">
        <f>IF(D132&gt;=1,E132,IF(D132=0,0,(D132*E132)/2))</f>
        <v>0</v>
      </c>
      <c r="G132" s="273">
        <f>F132/15</f>
        <v>0</v>
      </c>
      <c r="H132" s="21" t="s">
        <v>775</v>
      </c>
      <c r="I132" s="23"/>
    </row>
    <row r="133" spans="1:9" s="298" customFormat="1">
      <c r="A133" s="11"/>
      <c r="B133" s="437" t="s">
        <v>555</v>
      </c>
      <c r="C133" s="14" t="s">
        <v>556</v>
      </c>
      <c r="D133" s="2"/>
      <c r="E133" s="513">
        <v>60</v>
      </c>
      <c r="F133" s="273">
        <f>IF(D133&gt;=1,E133,IF(D133=0,0,(D133*E133)/2))</f>
        <v>0</v>
      </c>
      <c r="G133" s="273">
        <f>F133/15</f>
        <v>0</v>
      </c>
      <c r="H133" s="21" t="s">
        <v>775</v>
      </c>
      <c r="I133" s="23"/>
    </row>
    <row r="134" spans="1:9" s="298" customFormat="1">
      <c r="A134" s="305"/>
      <c r="B134" s="146"/>
      <c r="C134" s="300" t="s">
        <v>462</v>
      </c>
      <c r="D134" s="124"/>
      <c r="E134" s="468"/>
      <c r="F134" s="303">
        <f>SUM(F129:F133)</f>
        <v>0</v>
      </c>
      <c r="G134" s="303">
        <f>SUM(G129:G133)</f>
        <v>0</v>
      </c>
      <c r="H134" s="146"/>
      <c r="I134" s="490"/>
    </row>
    <row r="135" spans="1:9" s="298" customFormat="1" ht="21" customHeight="1">
      <c r="A135" s="149"/>
      <c r="B135" s="132"/>
      <c r="C135" s="132"/>
      <c r="D135" s="132"/>
      <c r="E135" s="133" t="s">
        <v>619</v>
      </c>
      <c r="F135" s="454">
        <f>F127+F134</f>
        <v>0</v>
      </c>
      <c r="G135" s="454">
        <f>G127+G134</f>
        <v>0</v>
      </c>
      <c r="H135" s="493"/>
      <c r="I135" s="494"/>
    </row>
    <row r="136" spans="1:9" s="76" customFormat="1" ht="21" customHeight="1">
      <c r="A136" s="86">
        <v>2.4</v>
      </c>
      <c r="B136" s="87" t="s">
        <v>893</v>
      </c>
      <c r="C136" s="88"/>
      <c r="D136" s="89"/>
      <c r="E136" s="90"/>
      <c r="F136" s="90"/>
      <c r="G136" s="91"/>
      <c r="H136" s="194"/>
      <c r="I136" s="92"/>
    </row>
    <row r="137" spans="1:9" s="298" customFormat="1">
      <c r="A137" s="267"/>
      <c r="B137" s="100"/>
      <c r="C137" s="480"/>
      <c r="D137" s="267" t="s">
        <v>664</v>
      </c>
      <c r="E137" s="116" t="s">
        <v>287</v>
      </c>
      <c r="F137" s="105" t="s">
        <v>584</v>
      </c>
      <c r="G137" s="105" t="s">
        <v>584</v>
      </c>
      <c r="H137" s="1381" t="s">
        <v>474</v>
      </c>
      <c r="I137" s="1382"/>
    </row>
    <row r="138" spans="1:9" s="298" customFormat="1">
      <c r="A138" s="299"/>
      <c r="B138" s="290"/>
      <c r="C138" s="481"/>
      <c r="D138" s="473" t="s">
        <v>306</v>
      </c>
      <c r="E138" s="237"/>
      <c r="F138" s="237" t="s">
        <v>583</v>
      </c>
      <c r="G138" s="237" t="s">
        <v>585</v>
      </c>
      <c r="H138" s="482"/>
      <c r="I138" s="483"/>
    </row>
    <row r="139" spans="1:9" s="298" customFormat="1">
      <c r="A139" s="514"/>
      <c r="B139" s="505"/>
      <c r="C139" s="506"/>
      <c r="D139" s="470" t="s">
        <v>307</v>
      </c>
      <c r="E139" s="507"/>
      <c r="F139" s="507"/>
      <c r="G139" s="508"/>
      <c r="H139" s="509"/>
      <c r="I139" s="510"/>
    </row>
    <row r="140" spans="1:9" s="436" customFormat="1">
      <c r="A140" s="491"/>
      <c r="B140" s="515" t="s">
        <v>620</v>
      </c>
      <c r="C140" s="471"/>
      <c r="D140" s="516"/>
      <c r="E140" s="517"/>
      <c r="F140" s="491"/>
      <c r="G140" s="491"/>
      <c r="H140" s="446"/>
      <c r="I140" s="467"/>
    </row>
    <row r="141" spans="1:9" s="298" customFormat="1">
      <c r="A141" s="11"/>
      <c r="B141" s="447" t="s">
        <v>551</v>
      </c>
      <c r="C141" s="17" t="s">
        <v>556</v>
      </c>
      <c r="D141" s="2"/>
      <c r="E141" s="513">
        <v>45</v>
      </c>
      <c r="F141" s="273">
        <f>IF(D141&gt;=1,E141,IF(D141=0,0,(D141*E141)/2))</f>
        <v>0</v>
      </c>
      <c r="G141" s="273">
        <f>F141/15</f>
        <v>0</v>
      </c>
      <c r="H141" s="21" t="s">
        <v>775</v>
      </c>
      <c r="I141" s="23"/>
    </row>
    <row r="142" spans="1:9" s="298" customFormat="1">
      <c r="A142" s="11"/>
      <c r="B142" s="447" t="s">
        <v>552</v>
      </c>
      <c r="C142" s="17" t="s">
        <v>556</v>
      </c>
      <c r="D142" s="2"/>
      <c r="E142" s="513">
        <v>45</v>
      </c>
      <c r="F142" s="273">
        <f>IF(D142&gt;=1,E142,IF(D142=0,0,(D142*E142)/2))</f>
        <v>0</v>
      </c>
      <c r="G142" s="273">
        <f>F142/15</f>
        <v>0</v>
      </c>
      <c r="H142" s="21" t="s">
        <v>775</v>
      </c>
      <c r="I142" s="23"/>
    </row>
    <row r="143" spans="1:9" s="298" customFormat="1">
      <c r="A143" s="11"/>
      <c r="B143" s="447" t="s">
        <v>553</v>
      </c>
      <c r="C143" s="17" t="s">
        <v>556</v>
      </c>
      <c r="D143" s="2"/>
      <c r="E143" s="513">
        <v>45</v>
      </c>
      <c r="F143" s="273">
        <f>IF(D143&gt;=1,E143,IF(D143=0,0,(D143*E143)/2))</f>
        <v>0</v>
      </c>
      <c r="G143" s="273">
        <f>F143/15</f>
        <v>0</v>
      </c>
      <c r="H143" s="21" t="s">
        <v>775</v>
      </c>
      <c r="I143" s="23"/>
    </row>
    <row r="144" spans="1:9" s="298" customFormat="1">
      <c r="A144" s="11"/>
      <c r="B144" s="447" t="s">
        <v>554</v>
      </c>
      <c r="C144" s="17" t="s">
        <v>556</v>
      </c>
      <c r="D144" s="2"/>
      <c r="E144" s="513">
        <v>45</v>
      </c>
      <c r="F144" s="273">
        <f>IF(D144&gt;=1,E144,IF(D144=0,0,(D144*E144)/2))</f>
        <v>0</v>
      </c>
      <c r="G144" s="273">
        <f>F144/15</f>
        <v>0</v>
      </c>
      <c r="H144" s="21" t="s">
        <v>775</v>
      </c>
      <c r="I144" s="23"/>
    </row>
    <row r="145" spans="1:9" s="298" customFormat="1">
      <c r="A145" s="11"/>
      <c r="B145" s="447" t="s">
        <v>555</v>
      </c>
      <c r="C145" s="17" t="s">
        <v>556</v>
      </c>
      <c r="D145" s="2"/>
      <c r="E145" s="513">
        <v>45</v>
      </c>
      <c r="F145" s="273">
        <f>IF(D145&gt;=1,E145,IF(D145=0,0,(D145*E145)/2))</f>
        <v>0</v>
      </c>
      <c r="G145" s="273">
        <f>F145/15</f>
        <v>0</v>
      </c>
      <c r="H145" s="21" t="s">
        <v>775</v>
      </c>
      <c r="I145" s="23"/>
    </row>
    <row r="146" spans="1:9" s="298" customFormat="1">
      <c r="A146" s="305"/>
      <c r="B146" s="146"/>
      <c r="C146" s="300" t="s">
        <v>462</v>
      </c>
      <c r="D146" s="124"/>
      <c r="E146" s="468"/>
      <c r="F146" s="303">
        <f>SUM(F141:F145)</f>
        <v>0</v>
      </c>
      <c r="G146" s="303">
        <f>SUM(G141:G145)</f>
        <v>0</v>
      </c>
      <c r="H146" s="146"/>
      <c r="I146" s="490"/>
    </row>
    <row r="147" spans="1:9" s="436" customFormat="1">
      <c r="A147" s="9"/>
      <c r="B147" s="518" t="s">
        <v>621</v>
      </c>
      <c r="C147" s="467"/>
      <c r="D147" s="117"/>
      <c r="E147" s="513"/>
      <c r="F147" s="273"/>
      <c r="G147" s="273"/>
      <c r="H147" s="447"/>
      <c r="I147" s="467"/>
    </row>
    <row r="148" spans="1:9" s="298" customFormat="1">
      <c r="A148" s="11"/>
      <c r="B148" s="447" t="s">
        <v>551</v>
      </c>
      <c r="C148" s="17" t="s">
        <v>556</v>
      </c>
      <c r="D148" s="2"/>
      <c r="E148" s="513">
        <v>90</v>
      </c>
      <c r="F148" s="273">
        <f>IF(D148&gt;=1,E148,IF(D148=0,0,(D148*E148)/2))</f>
        <v>0</v>
      </c>
      <c r="G148" s="273">
        <f>F148/15</f>
        <v>0</v>
      </c>
      <c r="H148" s="21" t="s">
        <v>775</v>
      </c>
      <c r="I148" s="23"/>
    </row>
    <row r="149" spans="1:9" s="298" customFormat="1">
      <c r="A149" s="11"/>
      <c r="B149" s="447" t="s">
        <v>552</v>
      </c>
      <c r="C149" s="17" t="s">
        <v>556</v>
      </c>
      <c r="D149" s="2"/>
      <c r="E149" s="513">
        <v>90</v>
      </c>
      <c r="F149" s="273">
        <f>IF(D149&gt;=1,E149,IF(D149=0,0,(D149*E149)/2))</f>
        <v>0</v>
      </c>
      <c r="G149" s="273">
        <f>F149/15</f>
        <v>0</v>
      </c>
      <c r="H149" s="21" t="s">
        <v>775</v>
      </c>
      <c r="I149" s="23"/>
    </row>
    <row r="150" spans="1:9" s="298" customFormat="1">
      <c r="A150" s="11"/>
      <c r="B150" s="447" t="s">
        <v>553</v>
      </c>
      <c r="C150" s="17" t="s">
        <v>556</v>
      </c>
      <c r="D150" s="2"/>
      <c r="E150" s="513">
        <v>90</v>
      </c>
      <c r="F150" s="273">
        <f>IF(D150&gt;=1,E150,IF(D150=0,0,(D150*E150)/2))</f>
        <v>0</v>
      </c>
      <c r="G150" s="273">
        <f>F150/15</f>
        <v>0</v>
      </c>
      <c r="H150" s="21" t="s">
        <v>775</v>
      </c>
      <c r="I150" s="23"/>
    </row>
    <row r="151" spans="1:9" s="298" customFormat="1">
      <c r="A151" s="11"/>
      <c r="B151" s="447" t="s">
        <v>554</v>
      </c>
      <c r="C151" s="17" t="s">
        <v>556</v>
      </c>
      <c r="D151" s="2"/>
      <c r="E151" s="513">
        <v>90</v>
      </c>
      <c r="F151" s="273">
        <f>IF(D151&gt;=1,E151,IF(D151=0,0,(D151*E151)/2))</f>
        <v>0</v>
      </c>
      <c r="G151" s="273">
        <f>F151/15</f>
        <v>0</v>
      </c>
      <c r="H151" s="21" t="s">
        <v>775</v>
      </c>
      <c r="I151" s="23"/>
    </row>
    <row r="152" spans="1:9" s="298" customFormat="1">
      <c r="A152" s="11"/>
      <c r="B152" s="447" t="s">
        <v>555</v>
      </c>
      <c r="C152" s="17" t="s">
        <v>556</v>
      </c>
      <c r="D152" s="2"/>
      <c r="E152" s="513">
        <v>90</v>
      </c>
      <c r="F152" s="273">
        <f>IF(D152&gt;=1,E152,IF(D152=0,0,(D152*E152)/2))</f>
        <v>0</v>
      </c>
      <c r="G152" s="273">
        <f>F152/15</f>
        <v>0</v>
      </c>
      <c r="H152" s="21" t="s">
        <v>775</v>
      </c>
      <c r="I152" s="23"/>
    </row>
    <row r="153" spans="1:9" s="298" customFormat="1">
      <c r="A153" s="305"/>
      <c r="B153" s="146"/>
      <c r="C153" s="300" t="s">
        <v>462</v>
      </c>
      <c r="D153" s="124"/>
      <c r="E153" s="519"/>
      <c r="F153" s="303">
        <f>SUM(F148:F152)</f>
        <v>0</v>
      </c>
      <c r="G153" s="303">
        <f>SUM(G148:G152)</f>
        <v>0</v>
      </c>
      <c r="H153" s="146"/>
      <c r="I153" s="490"/>
    </row>
    <row r="154" spans="1:9" s="298" customFormat="1" ht="21" customHeight="1">
      <c r="A154" s="131"/>
      <c r="B154" s="132"/>
      <c r="C154" s="132"/>
      <c r="D154" s="132"/>
      <c r="E154" s="133" t="s">
        <v>622</v>
      </c>
      <c r="F154" s="454">
        <f>F146+F153</f>
        <v>0</v>
      </c>
      <c r="G154" s="454">
        <f>G146+G153</f>
        <v>0</v>
      </c>
      <c r="H154" s="493"/>
      <c r="I154" s="494"/>
    </row>
    <row r="155" spans="1:9" s="76" customFormat="1" ht="21" customHeight="1">
      <c r="A155" s="86">
        <v>2.5</v>
      </c>
      <c r="B155" s="87" t="s">
        <v>1196</v>
      </c>
      <c r="C155" s="88"/>
      <c r="D155" s="89"/>
      <c r="E155" s="90"/>
      <c r="F155" s="90"/>
      <c r="G155" s="91"/>
      <c r="H155" s="194"/>
      <c r="I155" s="92"/>
    </row>
    <row r="156" spans="1:9" s="298" customFormat="1">
      <c r="A156" s="267"/>
      <c r="B156" s="100"/>
      <c r="C156" s="480"/>
      <c r="D156" s="267" t="s">
        <v>664</v>
      </c>
      <c r="E156" s="116" t="s">
        <v>287</v>
      </c>
      <c r="F156" s="105" t="s">
        <v>584</v>
      </c>
      <c r="G156" s="105" t="s">
        <v>584</v>
      </c>
      <c r="H156" s="1381" t="s">
        <v>474</v>
      </c>
      <c r="I156" s="1382"/>
    </row>
    <row r="157" spans="1:9" s="298" customFormat="1">
      <c r="A157" s="299"/>
      <c r="B157" s="290"/>
      <c r="C157" s="481"/>
      <c r="D157" s="473" t="s">
        <v>306</v>
      </c>
      <c r="E157" s="237"/>
      <c r="F157" s="237" t="s">
        <v>583</v>
      </c>
      <c r="G157" s="237" t="s">
        <v>585</v>
      </c>
      <c r="H157" s="482"/>
      <c r="I157" s="483"/>
    </row>
    <row r="158" spans="1:9" s="298" customFormat="1">
      <c r="A158" s="514"/>
      <c r="B158" s="505"/>
      <c r="C158" s="506"/>
      <c r="D158" s="470" t="s">
        <v>307</v>
      </c>
      <c r="E158" s="507"/>
      <c r="F158" s="507"/>
      <c r="G158" s="508"/>
      <c r="H158" s="509"/>
      <c r="I158" s="510"/>
    </row>
    <row r="159" spans="1:9" s="298" customFormat="1">
      <c r="A159" s="11"/>
      <c r="B159" s="1155" t="s">
        <v>551</v>
      </c>
      <c r="C159" s="1156" t="s">
        <v>556</v>
      </c>
      <c r="D159" s="71"/>
      <c r="E159" s="513">
        <v>10</v>
      </c>
      <c r="F159" s="1157">
        <f t="shared" ref="F159:F168" si="6">IF(D159&gt;=1,E159,IF(D159=0,0,(D159*E159)/2))</f>
        <v>0</v>
      </c>
      <c r="G159" s="1157">
        <f t="shared" ref="G159:G168" si="7">F159/15</f>
        <v>0</v>
      </c>
      <c r="H159" s="1158" t="s">
        <v>775</v>
      </c>
      <c r="I159" s="1159"/>
    </row>
    <row r="160" spans="1:9" s="298" customFormat="1">
      <c r="A160" s="11"/>
      <c r="B160" s="1155" t="s">
        <v>552</v>
      </c>
      <c r="C160" s="1156" t="s">
        <v>556</v>
      </c>
      <c r="D160" s="71"/>
      <c r="E160" s="513">
        <v>10</v>
      </c>
      <c r="F160" s="1157">
        <f t="shared" si="6"/>
        <v>0</v>
      </c>
      <c r="G160" s="1157">
        <f t="shared" si="7"/>
        <v>0</v>
      </c>
      <c r="H160" s="1158" t="s">
        <v>775</v>
      </c>
      <c r="I160" s="1159"/>
    </row>
    <row r="161" spans="1:9" s="298" customFormat="1">
      <c r="A161" s="11"/>
      <c r="B161" s="1155" t="s">
        <v>553</v>
      </c>
      <c r="C161" s="1156" t="s">
        <v>556</v>
      </c>
      <c r="D161" s="71"/>
      <c r="E161" s="513">
        <v>10</v>
      </c>
      <c r="F161" s="1157">
        <f t="shared" si="6"/>
        <v>0</v>
      </c>
      <c r="G161" s="1157">
        <f t="shared" si="7"/>
        <v>0</v>
      </c>
      <c r="H161" s="1158" t="s">
        <v>775</v>
      </c>
      <c r="I161" s="1159"/>
    </row>
    <row r="162" spans="1:9" s="298" customFormat="1">
      <c r="A162" s="11"/>
      <c r="B162" s="1155" t="s">
        <v>554</v>
      </c>
      <c r="C162" s="1156" t="s">
        <v>556</v>
      </c>
      <c r="D162" s="71"/>
      <c r="E162" s="513">
        <v>10</v>
      </c>
      <c r="F162" s="1157">
        <f t="shared" si="6"/>
        <v>0</v>
      </c>
      <c r="G162" s="1157">
        <f t="shared" si="7"/>
        <v>0</v>
      </c>
      <c r="H162" s="1158" t="s">
        <v>775</v>
      </c>
      <c r="I162" s="1159"/>
    </row>
    <row r="163" spans="1:9" s="298" customFormat="1">
      <c r="A163" s="11"/>
      <c r="B163" s="1155" t="s">
        <v>555</v>
      </c>
      <c r="C163" s="1156" t="s">
        <v>556</v>
      </c>
      <c r="D163" s="71"/>
      <c r="E163" s="513">
        <v>10</v>
      </c>
      <c r="F163" s="1157">
        <f t="shared" si="6"/>
        <v>0</v>
      </c>
      <c r="G163" s="1157">
        <f t="shared" si="7"/>
        <v>0</v>
      </c>
      <c r="H163" s="1158" t="s">
        <v>775</v>
      </c>
      <c r="I163" s="1159"/>
    </row>
    <row r="164" spans="1:9" s="298" customFormat="1">
      <c r="A164" s="11"/>
      <c r="B164" s="1155" t="s">
        <v>1197</v>
      </c>
      <c r="C164" s="1156" t="s">
        <v>556</v>
      </c>
      <c r="D164" s="71"/>
      <c r="E164" s="513">
        <v>10</v>
      </c>
      <c r="F164" s="1157">
        <f t="shared" si="6"/>
        <v>0</v>
      </c>
      <c r="G164" s="1157">
        <f t="shared" si="7"/>
        <v>0</v>
      </c>
      <c r="H164" s="1158" t="s">
        <v>775</v>
      </c>
      <c r="I164" s="1159"/>
    </row>
    <row r="165" spans="1:9" s="298" customFormat="1">
      <c r="A165" s="11"/>
      <c r="B165" s="1155" t="s">
        <v>1198</v>
      </c>
      <c r="C165" s="1156" t="s">
        <v>556</v>
      </c>
      <c r="D165" s="71"/>
      <c r="E165" s="513">
        <v>10</v>
      </c>
      <c r="F165" s="1157">
        <f t="shared" si="6"/>
        <v>0</v>
      </c>
      <c r="G165" s="1157">
        <f t="shared" si="7"/>
        <v>0</v>
      </c>
      <c r="H165" s="1158" t="s">
        <v>775</v>
      </c>
      <c r="I165" s="1159"/>
    </row>
    <row r="166" spans="1:9" s="298" customFormat="1">
      <c r="A166" s="11"/>
      <c r="B166" s="1155" t="s">
        <v>1199</v>
      </c>
      <c r="C166" s="1156" t="s">
        <v>556</v>
      </c>
      <c r="D166" s="71"/>
      <c r="E166" s="513">
        <v>10</v>
      </c>
      <c r="F166" s="1157">
        <f t="shared" si="6"/>
        <v>0</v>
      </c>
      <c r="G166" s="1157">
        <f t="shared" si="7"/>
        <v>0</v>
      </c>
      <c r="H166" s="1158" t="s">
        <v>775</v>
      </c>
      <c r="I166" s="1159"/>
    </row>
    <row r="167" spans="1:9" s="298" customFormat="1">
      <c r="A167" s="11"/>
      <c r="B167" s="1155" t="s">
        <v>1200</v>
      </c>
      <c r="C167" s="1156" t="s">
        <v>556</v>
      </c>
      <c r="D167" s="71"/>
      <c r="E167" s="513">
        <v>10</v>
      </c>
      <c r="F167" s="1157">
        <f t="shared" si="6"/>
        <v>0</v>
      </c>
      <c r="G167" s="1157">
        <f t="shared" si="7"/>
        <v>0</v>
      </c>
      <c r="H167" s="1158" t="s">
        <v>775</v>
      </c>
      <c r="I167" s="1159"/>
    </row>
    <row r="168" spans="1:9" s="298" customFormat="1">
      <c r="A168" s="11"/>
      <c r="B168" s="1155" t="s">
        <v>1201</v>
      </c>
      <c r="C168" s="1156" t="s">
        <v>556</v>
      </c>
      <c r="D168" s="71"/>
      <c r="E168" s="513">
        <v>10</v>
      </c>
      <c r="F168" s="1157">
        <f t="shared" si="6"/>
        <v>0</v>
      </c>
      <c r="G168" s="1157">
        <f t="shared" si="7"/>
        <v>0</v>
      </c>
      <c r="H168" s="1158" t="s">
        <v>775</v>
      </c>
      <c r="I168" s="1159"/>
    </row>
    <row r="169" spans="1:9" s="298" customFormat="1">
      <c r="A169" s="305"/>
      <c r="B169" s="146"/>
      <c r="C169" s="300" t="s">
        <v>462</v>
      </c>
      <c r="D169" s="124"/>
      <c r="E169" s="468"/>
      <c r="F169" s="303">
        <f>SUM(F159:F168)</f>
        <v>0</v>
      </c>
      <c r="G169" s="303">
        <f>SUM(G159:G168)</f>
        <v>0</v>
      </c>
      <c r="H169" s="146"/>
      <c r="I169" s="490"/>
    </row>
    <row r="170" spans="1:9" s="76" customFormat="1" ht="21" customHeight="1">
      <c r="A170" s="86">
        <v>2.6</v>
      </c>
      <c r="B170" s="87" t="s">
        <v>557</v>
      </c>
      <c r="C170" s="88"/>
      <c r="D170" s="89"/>
      <c r="E170" s="90"/>
      <c r="F170" s="90"/>
      <c r="G170" s="91"/>
      <c r="H170" s="194"/>
      <c r="I170" s="92"/>
    </row>
    <row r="171" spans="1:9" s="298" customFormat="1">
      <c r="A171" s="100"/>
      <c r="B171" s="495"/>
      <c r="C171" s="480"/>
      <c r="D171" s="267" t="s">
        <v>666</v>
      </c>
      <c r="E171" s="116" t="s">
        <v>287</v>
      </c>
      <c r="F171" s="105" t="s">
        <v>584</v>
      </c>
      <c r="G171" s="105" t="s">
        <v>584</v>
      </c>
      <c r="H171" s="1381" t="s">
        <v>474</v>
      </c>
      <c r="I171" s="1382"/>
    </row>
    <row r="172" spans="1:9" s="298" customFormat="1">
      <c r="A172" s="290"/>
      <c r="B172" s="496"/>
      <c r="C172" s="481"/>
      <c r="D172" s="473" t="s">
        <v>306</v>
      </c>
      <c r="E172" s="237"/>
      <c r="F172" s="237" t="s">
        <v>583</v>
      </c>
      <c r="G172" s="237" t="s">
        <v>585</v>
      </c>
      <c r="H172" s="482"/>
      <c r="I172" s="483"/>
    </row>
    <row r="173" spans="1:9" s="298" customFormat="1">
      <c r="A173" s="277"/>
      <c r="B173" s="505"/>
      <c r="C173" s="506"/>
      <c r="D173" s="470" t="s">
        <v>307</v>
      </c>
      <c r="E173" s="507"/>
      <c r="F173" s="507"/>
      <c r="G173" s="508"/>
      <c r="H173" s="509"/>
      <c r="I173" s="510"/>
    </row>
    <row r="174" spans="1:9" s="298" customFormat="1">
      <c r="A174" s="11"/>
      <c r="B174" s="446" t="s">
        <v>558</v>
      </c>
      <c r="C174" s="17" t="s">
        <v>563</v>
      </c>
      <c r="D174" s="2"/>
      <c r="E174" s="513">
        <v>120</v>
      </c>
      <c r="F174" s="273">
        <f>IF(D174&gt;=1,E174,IF(D174=0,0,(D174*E174)/2))</f>
        <v>0</v>
      </c>
      <c r="G174" s="273">
        <f>F174/15</f>
        <v>0</v>
      </c>
      <c r="H174" s="21"/>
      <c r="I174" s="23"/>
    </row>
    <row r="175" spans="1:9" s="298" customFormat="1">
      <c r="A175" s="11"/>
      <c r="B175" s="447" t="s">
        <v>559</v>
      </c>
      <c r="C175" s="17" t="s">
        <v>563</v>
      </c>
      <c r="D175" s="2"/>
      <c r="E175" s="513">
        <v>120</v>
      </c>
      <c r="F175" s="273">
        <f>IF(D175&gt;=1,E175,IF(D175=0,0,(D175*E175)/2))</f>
        <v>0</v>
      </c>
      <c r="G175" s="273">
        <f>F175/15</f>
        <v>0</v>
      </c>
      <c r="H175" s="21"/>
      <c r="I175" s="23"/>
    </row>
    <row r="176" spans="1:9" s="298" customFormat="1">
      <c r="A176" s="11"/>
      <c r="B176" s="447" t="s">
        <v>560</v>
      </c>
      <c r="C176" s="17" t="s">
        <v>563</v>
      </c>
      <c r="D176" s="2"/>
      <c r="E176" s="513">
        <v>120</v>
      </c>
      <c r="F176" s="273">
        <f>IF(D176&gt;=1,E176,IF(D176=0,0,(D176*E176)/2))</f>
        <v>0</v>
      </c>
      <c r="G176" s="273">
        <f>F176/15</f>
        <v>0</v>
      </c>
      <c r="H176" s="21"/>
      <c r="I176" s="23"/>
    </row>
    <row r="177" spans="1:9" s="298" customFormat="1">
      <c r="A177" s="11"/>
      <c r="B177" s="447" t="s">
        <v>561</v>
      </c>
      <c r="C177" s="17" t="s">
        <v>563</v>
      </c>
      <c r="D177" s="2"/>
      <c r="E177" s="513">
        <v>120</v>
      </c>
      <c r="F177" s="273">
        <f>IF(D177&gt;=1,E177,IF(D177=0,0,(D177*E177)/2))</f>
        <v>0</v>
      </c>
      <c r="G177" s="273">
        <f>F177/15</f>
        <v>0</v>
      </c>
      <c r="H177" s="21"/>
      <c r="I177" s="23"/>
    </row>
    <row r="178" spans="1:9" s="298" customFormat="1">
      <c r="A178" s="11"/>
      <c r="B178" s="447" t="s">
        <v>562</v>
      </c>
      <c r="C178" s="17" t="s">
        <v>563</v>
      </c>
      <c r="D178" s="2"/>
      <c r="E178" s="513">
        <v>120</v>
      </c>
      <c r="F178" s="273">
        <f>IF(D178&gt;=1,E178,IF(D178=0,0,(D178*E178)/2))</f>
        <v>0</v>
      </c>
      <c r="G178" s="273">
        <f>F178/15</f>
        <v>0</v>
      </c>
      <c r="H178" s="21"/>
      <c r="I178" s="23"/>
    </row>
    <row r="179" spans="1:9" s="298" customFormat="1">
      <c r="A179" s="305"/>
      <c r="B179" s="146"/>
      <c r="C179" s="300" t="s">
        <v>462</v>
      </c>
      <c r="D179" s="124"/>
      <c r="E179" s="468"/>
      <c r="F179" s="303">
        <f>SUM(F174:F178)</f>
        <v>0</v>
      </c>
      <c r="G179" s="303">
        <f>SUM(G174:G178)</f>
        <v>0</v>
      </c>
      <c r="H179" s="146"/>
      <c r="I179" s="490"/>
    </row>
    <row r="180" spans="1:9" s="76" customFormat="1" ht="21" customHeight="1">
      <c r="A180" s="86">
        <v>2.7</v>
      </c>
      <c r="B180" s="87" t="s">
        <v>564</v>
      </c>
      <c r="C180" s="88"/>
      <c r="D180" s="89"/>
      <c r="E180" s="90"/>
      <c r="F180" s="90"/>
      <c r="G180" s="91"/>
      <c r="H180" s="194"/>
      <c r="I180" s="92"/>
    </row>
    <row r="181" spans="1:9" s="298" customFormat="1">
      <c r="A181" s="100"/>
      <c r="B181" s="495"/>
      <c r="C181" s="480"/>
      <c r="D181" s="267" t="s">
        <v>666</v>
      </c>
      <c r="E181" s="116" t="s">
        <v>287</v>
      </c>
      <c r="F181" s="105" t="s">
        <v>584</v>
      </c>
      <c r="G181" s="105" t="s">
        <v>584</v>
      </c>
      <c r="H181" s="1381" t="s">
        <v>474</v>
      </c>
      <c r="I181" s="1382"/>
    </row>
    <row r="182" spans="1:9" s="298" customFormat="1">
      <c r="A182" s="290"/>
      <c r="B182" s="496"/>
      <c r="C182" s="481"/>
      <c r="D182" s="473" t="s">
        <v>306</v>
      </c>
      <c r="E182" s="237"/>
      <c r="F182" s="237" t="s">
        <v>583</v>
      </c>
      <c r="G182" s="237" t="s">
        <v>585</v>
      </c>
      <c r="H182" s="482"/>
      <c r="I182" s="483"/>
    </row>
    <row r="183" spans="1:9" s="298" customFormat="1">
      <c r="A183" s="277"/>
      <c r="B183" s="505"/>
      <c r="C183" s="506"/>
      <c r="D183" s="470" t="s">
        <v>307</v>
      </c>
      <c r="E183" s="507"/>
      <c r="F183" s="507"/>
      <c r="G183" s="508"/>
      <c r="H183" s="509"/>
      <c r="I183" s="510"/>
    </row>
    <row r="184" spans="1:9" s="298" customFormat="1">
      <c r="A184" s="460"/>
      <c r="B184" s="446" t="s">
        <v>558</v>
      </c>
      <c r="C184" s="16" t="s">
        <v>563</v>
      </c>
      <c r="D184" s="3"/>
      <c r="E184" s="520">
        <v>45</v>
      </c>
      <c r="F184" s="521">
        <f>IF(D184&gt;=1,E184,IF(D184=0,0,(D184*E184)/2))</f>
        <v>0</v>
      </c>
      <c r="G184" s="521">
        <f>F184/15</f>
        <v>0</v>
      </c>
      <c r="H184" s="20"/>
      <c r="I184" s="23"/>
    </row>
    <row r="185" spans="1:9" s="298" customFormat="1">
      <c r="A185" s="11"/>
      <c r="B185" s="447" t="s">
        <v>559</v>
      </c>
      <c r="C185" s="17" t="s">
        <v>563</v>
      </c>
      <c r="D185" s="2"/>
      <c r="E185" s="513">
        <v>45</v>
      </c>
      <c r="F185" s="273">
        <f>IF(D185&gt;=1,E185,IF(D185=0,0,(D185*E185)/2))</f>
        <v>0</v>
      </c>
      <c r="G185" s="273">
        <f>F185/15</f>
        <v>0</v>
      </c>
      <c r="H185" s="21"/>
      <c r="I185" s="23"/>
    </row>
    <row r="186" spans="1:9" s="298" customFormat="1">
      <c r="A186" s="11"/>
      <c r="B186" s="447" t="s">
        <v>560</v>
      </c>
      <c r="C186" s="17" t="s">
        <v>563</v>
      </c>
      <c r="D186" s="2"/>
      <c r="E186" s="513">
        <v>45</v>
      </c>
      <c r="F186" s="273">
        <f>IF(D186&gt;=1,E186,IF(D186=0,0,(D186*E186)/2))</f>
        <v>0</v>
      </c>
      <c r="G186" s="273">
        <f>F186/15</f>
        <v>0</v>
      </c>
      <c r="H186" s="21"/>
      <c r="I186" s="23"/>
    </row>
    <row r="187" spans="1:9" s="298" customFormat="1">
      <c r="A187" s="11"/>
      <c r="B187" s="447" t="s">
        <v>561</v>
      </c>
      <c r="C187" s="17" t="s">
        <v>563</v>
      </c>
      <c r="D187" s="2"/>
      <c r="E187" s="513">
        <v>45</v>
      </c>
      <c r="F187" s="273">
        <f>IF(D187&gt;=1,E187,IF(D187=0,0,(D187*E187)/2))</f>
        <v>0</v>
      </c>
      <c r="G187" s="273">
        <f>F187/15</f>
        <v>0</v>
      </c>
      <c r="H187" s="21"/>
      <c r="I187" s="23"/>
    </row>
    <row r="188" spans="1:9" s="298" customFormat="1">
      <c r="A188" s="11"/>
      <c r="B188" s="472" t="s">
        <v>562</v>
      </c>
      <c r="C188" s="19" t="s">
        <v>563</v>
      </c>
      <c r="D188" s="10"/>
      <c r="E188" s="522">
        <v>45</v>
      </c>
      <c r="F188" s="523">
        <f>IF(D188&gt;=1,E188,IF(D188=0,0,(D188*E188)/2))</f>
        <v>0</v>
      </c>
      <c r="G188" s="523">
        <f>F188/15</f>
        <v>0</v>
      </c>
      <c r="H188" s="22"/>
      <c r="I188" s="23"/>
    </row>
    <row r="189" spans="1:9" s="298" customFormat="1">
      <c r="A189" s="524"/>
      <c r="B189" s="146"/>
      <c r="C189" s="300" t="s">
        <v>462</v>
      </c>
      <c r="D189" s="124"/>
      <c r="E189" s="468"/>
      <c r="F189" s="463">
        <f>SUM(F184:F188)</f>
        <v>0</v>
      </c>
      <c r="G189" s="463">
        <f>SUM(G184:G188)</f>
        <v>0</v>
      </c>
      <c r="H189" s="146"/>
      <c r="I189" s="490"/>
    </row>
    <row r="190" spans="1:9" s="76" customFormat="1" ht="21" customHeight="1">
      <c r="A190" s="86">
        <v>2.8</v>
      </c>
      <c r="B190" s="87" t="s">
        <v>348</v>
      </c>
      <c r="C190" s="88"/>
      <c r="D190" s="89"/>
      <c r="E190" s="90"/>
      <c r="F190" s="90"/>
      <c r="G190" s="91"/>
      <c r="H190" s="194"/>
      <c r="I190" s="92"/>
    </row>
    <row r="191" spans="1:9" s="298" customFormat="1">
      <c r="A191" s="100"/>
      <c r="B191" s="495"/>
      <c r="C191" s="480"/>
      <c r="D191" s="267" t="s">
        <v>662</v>
      </c>
      <c r="E191" s="116" t="s">
        <v>287</v>
      </c>
      <c r="F191" s="105" t="s">
        <v>584</v>
      </c>
      <c r="G191" s="105" t="s">
        <v>584</v>
      </c>
      <c r="H191" s="1381" t="s">
        <v>474</v>
      </c>
      <c r="I191" s="1382"/>
    </row>
    <row r="192" spans="1:9" s="298" customFormat="1">
      <c r="A192" s="290"/>
      <c r="B192" s="496"/>
      <c r="C192" s="481"/>
      <c r="D192" s="473"/>
      <c r="E192" s="237"/>
      <c r="F192" s="237" t="s">
        <v>583</v>
      </c>
      <c r="G192" s="237" t="s">
        <v>585</v>
      </c>
      <c r="H192" s="482"/>
      <c r="I192" s="510"/>
    </row>
    <row r="193" spans="1:9" s="298" customFormat="1">
      <c r="A193" s="460"/>
      <c r="B193" s="446" t="s">
        <v>558</v>
      </c>
      <c r="C193" s="16" t="s">
        <v>563</v>
      </c>
      <c r="D193" s="3"/>
      <c r="E193" s="520">
        <v>1</v>
      </c>
      <c r="F193" s="521">
        <f>IF(D193&gt;45,45,D193*E193)</f>
        <v>0</v>
      </c>
      <c r="G193" s="521">
        <f>F193/15</f>
        <v>0</v>
      </c>
      <c r="H193" s="20"/>
      <c r="I193" s="23"/>
    </row>
    <row r="194" spans="1:9" s="298" customFormat="1">
      <c r="A194" s="11"/>
      <c r="B194" s="447" t="s">
        <v>559</v>
      </c>
      <c r="C194" s="17" t="s">
        <v>563</v>
      </c>
      <c r="D194" s="2"/>
      <c r="E194" s="513">
        <v>1</v>
      </c>
      <c r="F194" s="273">
        <f>IF(D194&gt;45,45,D194*E194)</f>
        <v>0</v>
      </c>
      <c r="G194" s="273">
        <f>F194/15</f>
        <v>0</v>
      </c>
      <c r="H194" s="21"/>
      <c r="I194" s="23"/>
    </row>
    <row r="195" spans="1:9" s="298" customFormat="1">
      <c r="A195" s="11"/>
      <c r="B195" s="447" t="s">
        <v>560</v>
      </c>
      <c r="C195" s="17" t="s">
        <v>563</v>
      </c>
      <c r="D195" s="2"/>
      <c r="E195" s="513">
        <v>1</v>
      </c>
      <c r="F195" s="273">
        <f>IF(D195&gt;45,45,D195*E195)</f>
        <v>0</v>
      </c>
      <c r="G195" s="273">
        <f>F195/15</f>
        <v>0</v>
      </c>
      <c r="H195" s="21"/>
      <c r="I195" s="23"/>
    </row>
    <row r="196" spans="1:9" s="298" customFormat="1">
      <c r="A196" s="11"/>
      <c r="B196" s="447" t="s">
        <v>561</v>
      </c>
      <c r="C196" s="17" t="s">
        <v>563</v>
      </c>
      <c r="D196" s="2"/>
      <c r="E196" s="513">
        <v>1</v>
      </c>
      <c r="F196" s="273">
        <f>IF(D196&gt;45,45,D196*E196)</f>
        <v>0</v>
      </c>
      <c r="G196" s="273">
        <f>F196/15</f>
        <v>0</v>
      </c>
      <c r="H196" s="21"/>
      <c r="I196" s="23"/>
    </row>
    <row r="197" spans="1:9" s="298" customFormat="1">
      <c r="A197" s="11"/>
      <c r="B197" s="447" t="s">
        <v>562</v>
      </c>
      <c r="C197" s="17" t="s">
        <v>563</v>
      </c>
      <c r="D197" s="2"/>
      <c r="E197" s="513">
        <v>1</v>
      </c>
      <c r="F197" s="523">
        <f>IF(D197&gt;45,45,D197*E197)</f>
        <v>0</v>
      </c>
      <c r="G197" s="273">
        <f>F197/15</f>
        <v>0</v>
      </c>
      <c r="H197" s="21"/>
      <c r="I197" s="23"/>
    </row>
    <row r="198" spans="1:9" s="298" customFormat="1">
      <c r="A198" s="305"/>
      <c r="B198" s="146"/>
      <c r="C198" s="300" t="s">
        <v>462</v>
      </c>
      <c r="D198" s="124"/>
      <c r="E198" s="468"/>
      <c r="F198" s="303">
        <f>SUM(F193:F197)</f>
        <v>0</v>
      </c>
      <c r="G198" s="303">
        <f>SUM(G193:G197)</f>
        <v>0</v>
      </c>
      <c r="H198" s="146"/>
      <c r="I198" s="490"/>
    </row>
    <row r="199" spans="1:9" s="76" customFormat="1" ht="21" customHeight="1">
      <c r="A199" s="86">
        <v>2.9</v>
      </c>
      <c r="B199" s="87" t="s">
        <v>349</v>
      </c>
      <c r="C199" s="88"/>
      <c r="D199" s="89"/>
      <c r="E199" s="90"/>
      <c r="F199" s="90"/>
      <c r="G199" s="91"/>
      <c r="H199" s="194"/>
      <c r="I199" s="92"/>
    </row>
    <row r="200" spans="1:9" s="298" customFormat="1">
      <c r="A200" s="100"/>
      <c r="B200" s="495"/>
      <c r="C200" s="480"/>
      <c r="D200" s="267" t="s">
        <v>581</v>
      </c>
      <c r="E200" s="116" t="s">
        <v>287</v>
      </c>
      <c r="F200" s="105" t="s">
        <v>584</v>
      </c>
      <c r="G200" s="105" t="s">
        <v>584</v>
      </c>
      <c r="H200" s="1381" t="s">
        <v>474</v>
      </c>
      <c r="I200" s="1382"/>
    </row>
    <row r="201" spans="1:9" s="298" customFormat="1">
      <c r="A201" s="290"/>
      <c r="B201" s="496"/>
      <c r="C201" s="481"/>
      <c r="D201" s="473" t="s">
        <v>306</v>
      </c>
      <c r="E201" s="237"/>
      <c r="F201" s="237" t="s">
        <v>583</v>
      </c>
      <c r="G201" s="237" t="s">
        <v>585</v>
      </c>
      <c r="H201" s="482"/>
      <c r="I201" s="483"/>
    </row>
    <row r="202" spans="1:9" s="298" customFormat="1">
      <c r="A202" s="277"/>
      <c r="B202" s="505"/>
      <c r="C202" s="506"/>
      <c r="D202" s="470" t="s">
        <v>307</v>
      </c>
      <c r="E202" s="507"/>
      <c r="F202" s="507"/>
      <c r="G202" s="508"/>
      <c r="H202" s="509"/>
      <c r="I202" s="510"/>
    </row>
    <row r="203" spans="1:9" s="298" customFormat="1">
      <c r="A203" s="460"/>
      <c r="B203" s="446" t="s">
        <v>733</v>
      </c>
      <c r="C203" s="16" t="s">
        <v>728</v>
      </c>
      <c r="D203" s="3"/>
      <c r="E203" s="520">
        <v>45</v>
      </c>
      <c r="F203" s="521">
        <f t="shared" ref="F203:F210" si="8">IF(D203&gt;=1,E203,IF(D203=0,0,(D203*E203)/2))</f>
        <v>0</v>
      </c>
      <c r="G203" s="521">
        <f t="shared" ref="G203:G210" si="9">F203/15</f>
        <v>0</v>
      </c>
      <c r="H203" s="20"/>
      <c r="I203" s="23"/>
    </row>
    <row r="204" spans="1:9" s="298" customFormat="1">
      <c r="A204" s="11"/>
      <c r="B204" s="447" t="s">
        <v>734</v>
      </c>
      <c r="C204" s="17" t="s">
        <v>728</v>
      </c>
      <c r="D204" s="2"/>
      <c r="E204" s="513">
        <v>45</v>
      </c>
      <c r="F204" s="273">
        <f t="shared" si="8"/>
        <v>0</v>
      </c>
      <c r="G204" s="273">
        <f t="shared" si="9"/>
        <v>0</v>
      </c>
      <c r="H204" s="21"/>
      <c r="I204" s="23"/>
    </row>
    <row r="205" spans="1:9" s="298" customFormat="1">
      <c r="A205" s="11"/>
      <c r="B205" s="447" t="s">
        <v>735</v>
      </c>
      <c r="C205" s="17" t="s">
        <v>728</v>
      </c>
      <c r="D205" s="2"/>
      <c r="E205" s="513">
        <v>45</v>
      </c>
      <c r="F205" s="273">
        <f t="shared" si="8"/>
        <v>0</v>
      </c>
      <c r="G205" s="273">
        <f t="shared" si="9"/>
        <v>0</v>
      </c>
      <c r="H205" s="21"/>
      <c r="I205" s="23"/>
    </row>
    <row r="206" spans="1:9" s="298" customFormat="1">
      <c r="A206" s="11"/>
      <c r="B206" s="447" t="s">
        <v>736</v>
      </c>
      <c r="C206" s="17" t="s">
        <v>728</v>
      </c>
      <c r="D206" s="2"/>
      <c r="E206" s="513">
        <v>45</v>
      </c>
      <c r="F206" s="273">
        <f t="shared" si="8"/>
        <v>0</v>
      </c>
      <c r="G206" s="273">
        <f t="shared" si="9"/>
        <v>0</v>
      </c>
      <c r="H206" s="21"/>
      <c r="I206" s="23"/>
    </row>
    <row r="207" spans="1:9" s="298" customFormat="1">
      <c r="A207" s="11"/>
      <c r="B207" s="447" t="s">
        <v>737</v>
      </c>
      <c r="C207" s="17" t="s">
        <v>728</v>
      </c>
      <c r="D207" s="2"/>
      <c r="E207" s="513">
        <v>45</v>
      </c>
      <c r="F207" s="273">
        <f t="shared" si="8"/>
        <v>0</v>
      </c>
      <c r="G207" s="273">
        <f t="shared" si="9"/>
        <v>0</v>
      </c>
      <c r="H207" s="21"/>
      <c r="I207" s="23"/>
    </row>
    <row r="208" spans="1:9" s="298" customFormat="1">
      <c r="A208" s="11"/>
      <c r="B208" s="447" t="s">
        <v>738</v>
      </c>
      <c r="C208" s="17" t="s">
        <v>728</v>
      </c>
      <c r="D208" s="2"/>
      <c r="E208" s="513">
        <v>45</v>
      </c>
      <c r="F208" s="273">
        <f t="shared" si="8"/>
        <v>0</v>
      </c>
      <c r="G208" s="273">
        <f t="shared" si="9"/>
        <v>0</v>
      </c>
      <c r="H208" s="21"/>
      <c r="I208" s="23"/>
    </row>
    <row r="209" spans="1:9" s="298" customFormat="1">
      <c r="A209" s="11"/>
      <c r="B209" s="447" t="s">
        <v>739</v>
      </c>
      <c r="C209" s="17" t="s">
        <v>728</v>
      </c>
      <c r="D209" s="2"/>
      <c r="E209" s="513">
        <v>45</v>
      </c>
      <c r="F209" s="273">
        <f t="shared" si="8"/>
        <v>0</v>
      </c>
      <c r="G209" s="273">
        <f t="shared" si="9"/>
        <v>0</v>
      </c>
      <c r="H209" s="21"/>
      <c r="I209" s="23"/>
    </row>
    <row r="210" spans="1:9" s="298" customFormat="1">
      <c r="A210" s="11"/>
      <c r="B210" s="472" t="s">
        <v>740</v>
      </c>
      <c r="C210" s="19" t="s">
        <v>728</v>
      </c>
      <c r="D210" s="2"/>
      <c r="E210" s="513">
        <v>45</v>
      </c>
      <c r="F210" s="523">
        <f t="shared" si="8"/>
        <v>0</v>
      </c>
      <c r="G210" s="273">
        <f t="shared" si="9"/>
        <v>0</v>
      </c>
      <c r="H210" s="21"/>
      <c r="I210" s="23"/>
    </row>
    <row r="211" spans="1:9" s="298" customFormat="1">
      <c r="A211" s="305"/>
      <c r="B211" s="146"/>
      <c r="C211" s="300" t="s">
        <v>462</v>
      </c>
      <c r="D211" s="124"/>
      <c r="E211" s="302"/>
      <c r="F211" s="463">
        <f>SUM(F203:F210)</f>
        <v>0</v>
      </c>
      <c r="G211" s="463">
        <f>SUM(G203:G210)</f>
        <v>0</v>
      </c>
      <c r="H211" s="146"/>
      <c r="I211" s="490"/>
    </row>
    <row r="212" spans="1:9" s="76" customFormat="1" ht="21" customHeight="1">
      <c r="A212" s="526">
        <v>2.1</v>
      </c>
      <c r="B212" s="87" t="s">
        <v>298</v>
      </c>
      <c r="C212" s="88"/>
      <c r="D212" s="89"/>
      <c r="E212" s="90"/>
      <c r="F212" s="90"/>
      <c r="G212" s="91"/>
      <c r="H212" s="194"/>
      <c r="I212" s="92"/>
    </row>
    <row r="213" spans="1:9" s="298" customFormat="1">
      <c r="A213" s="100"/>
      <c r="B213" s="495"/>
      <c r="C213" s="480"/>
      <c r="D213" s="267" t="s">
        <v>581</v>
      </c>
      <c r="E213" s="116" t="s">
        <v>287</v>
      </c>
      <c r="F213" s="105" t="s">
        <v>584</v>
      </c>
      <c r="G213" s="105" t="s">
        <v>584</v>
      </c>
      <c r="H213" s="1381" t="s">
        <v>474</v>
      </c>
      <c r="I213" s="1382"/>
    </row>
    <row r="214" spans="1:9" s="298" customFormat="1">
      <c r="A214" s="290"/>
      <c r="B214" s="496"/>
      <c r="C214" s="481"/>
      <c r="D214" s="473" t="s">
        <v>306</v>
      </c>
      <c r="E214" s="237"/>
      <c r="F214" s="237" t="s">
        <v>583</v>
      </c>
      <c r="G214" s="237" t="s">
        <v>585</v>
      </c>
      <c r="H214" s="482"/>
      <c r="I214" s="483"/>
    </row>
    <row r="215" spans="1:9" s="298" customFormat="1">
      <c r="A215" s="277"/>
      <c r="B215" s="505"/>
      <c r="C215" s="506"/>
      <c r="D215" s="470" t="s">
        <v>307</v>
      </c>
      <c r="E215" s="525" t="s">
        <v>311</v>
      </c>
      <c r="F215" s="507"/>
      <c r="G215" s="508"/>
      <c r="H215" s="509"/>
      <c r="I215" s="510"/>
    </row>
    <row r="216" spans="1:9" s="298" customFormat="1">
      <c r="A216" s="460"/>
      <c r="B216" s="446" t="s">
        <v>733</v>
      </c>
      <c r="C216" s="16" t="s">
        <v>565</v>
      </c>
      <c r="D216" s="3"/>
      <c r="E216" s="308"/>
      <c r="F216" s="521">
        <f>IF(D216&gt;=1,E216,IF(D216=0,0,(D216*E216)/2))</f>
        <v>0</v>
      </c>
      <c r="G216" s="521">
        <f t="shared" ref="G216:G225" si="10">F216/15</f>
        <v>0</v>
      </c>
      <c r="H216" s="20"/>
      <c r="I216" s="23"/>
    </row>
    <row r="217" spans="1:9" s="298" customFormat="1">
      <c r="A217" s="11"/>
      <c r="B217" s="447" t="s">
        <v>734</v>
      </c>
      <c r="C217" s="17" t="s">
        <v>565</v>
      </c>
      <c r="D217" s="2"/>
      <c r="E217" s="71"/>
      <c r="F217" s="273">
        <f t="shared" ref="F217:F225" si="11">IF(D217&gt;=1,E217,IF(D217=0,0,(D217*E217)/2))</f>
        <v>0</v>
      </c>
      <c r="G217" s="273">
        <f t="shared" si="10"/>
        <v>0</v>
      </c>
      <c r="H217" s="21"/>
      <c r="I217" s="23"/>
    </row>
    <row r="218" spans="1:9" s="298" customFormat="1">
      <c r="A218" s="11"/>
      <c r="B218" s="447" t="s">
        <v>735</v>
      </c>
      <c r="C218" s="17" t="s">
        <v>565</v>
      </c>
      <c r="D218" s="2"/>
      <c r="E218" s="71"/>
      <c r="F218" s="273">
        <f t="shared" si="11"/>
        <v>0</v>
      </c>
      <c r="G218" s="273">
        <f t="shared" si="10"/>
        <v>0</v>
      </c>
      <c r="H218" s="21"/>
      <c r="I218" s="23"/>
    </row>
    <row r="219" spans="1:9" s="298" customFormat="1">
      <c r="A219" s="11"/>
      <c r="B219" s="447" t="s">
        <v>736</v>
      </c>
      <c r="C219" s="17" t="s">
        <v>565</v>
      </c>
      <c r="D219" s="2"/>
      <c r="E219" s="71"/>
      <c r="F219" s="273">
        <f t="shared" si="11"/>
        <v>0</v>
      </c>
      <c r="G219" s="273">
        <f t="shared" si="10"/>
        <v>0</v>
      </c>
      <c r="H219" s="21"/>
      <c r="I219" s="23"/>
    </row>
    <row r="220" spans="1:9" s="298" customFormat="1">
      <c r="A220" s="11"/>
      <c r="B220" s="447" t="s">
        <v>737</v>
      </c>
      <c r="C220" s="17" t="s">
        <v>565</v>
      </c>
      <c r="D220" s="2"/>
      <c r="E220" s="71"/>
      <c r="F220" s="273">
        <f t="shared" si="11"/>
        <v>0</v>
      </c>
      <c r="G220" s="273">
        <f t="shared" si="10"/>
        <v>0</v>
      </c>
      <c r="H220" s="21"/>
      <c r="I220" s="23"/>
    </row>
    <row r="221" spans="1:9" s="298" customFormat="1">
      <c r="A221" s="11"/>
      <c r="B221" s="447" t="s">
        <v>738</v>
      </c>
      <c r="C221" s="17" t="s">
        <v>565</v>
      </c>
      <c r="D221" s="2"/>
      <c r="E221" s="71"/>
      <c r="F221" s="273">
        <f t="shared" si="11"/>
        <v>0</v>
      </c>
      <c r="G221" s="273">
        <f t="shared" si="10"/>
        <v>0</v>
      </c>
      <c r="H221" s="21"/>
      <c r="I221" s="23"/>
    </row>
    <row r="222" spans="1:9" s="298" customFormat="1">
      <c r="A222" s="11"/>
      <c r="B222" s="447" t="s">
        <v>739</v>
      </c>
      <c r="C222" s="17" t="s">
        <v>565</v>
      </c>
      <c r="D222" s="2"/>
      <c r="E222" s="71"/>
      <c r="F222" s="273">
        <f t="shared" si="11"/>
        <v>0</v>
      </c>
      <c r="G222" s="273">
        <f t="shared" si="10"/>
        <v>0</v>
      </c>
      <c r="H222" s="21"/>
      <c r="I222" s="23"/>
    </row>
    <row r="223" spans="1:9" s="298" customFormat="1">
      <c r="A223" s="11"/>
      <c r="B223" s="447" t="s">
        <v>740</v>
      </c>
      <c r="C223" s="17" t="s">
        <v>565</v>
      </c>
      <c r="D223" s="2"/>
      <c r="E223" s="71"/>
      <c r="F223" s="273">
        <f t="shared" si="11"/>
        <v>0</v>
      </c>
      <c r="G223" s="273">
        <f t="shared" si="10"/>
        <v>0</v>
      </c>
      <c r="H223" s="21"/>
      <c r="I223" s="23"/>
    </row>
    <row r="224" spans="1:9" s="298" customFormat="1">
      <c r="A224" s="11"/>
      <c r="B224" s="447" t="s">
        <v>309</v>
      </c>
      <c r="C224" s="17" t="s">
        <v>565</v>
      </c>
      <c r="D224" s="2"/>
      <c r="E224" s="71"/>
      <c r="F224" s="273">
        <f t="shared" si="11"/>
        <v>0</v>
      </c>
      <c r="G224" s="273">
        <f t="shared" si="10"/>
        <v>0</v>
      </c>
      <c r="H224" s="21"/>
      <c r="I224" s="23"/>
    </row>
    <row r="225" spans="1:9" s="298" customFormat="1">
      <c r="A225" s="11"/>
      <c r="B225" s="472" t="s">
        <v>310</v>
      </c>
      <c r="C225" s="17" t="s">
        <v>565</v>
      </c>
      <c r="D225" s="2"/>
      <c r="E225" s="309"/>
      <c r="F225" s="523">
        <f t="shared" si="11"/>
        <v>0</v>
      </c>
      <c r="G225" s="273">
        <f t="shared" si="10"/>
        <v>0</v>
      </c>
      <c r="H225" s="21"/>
      <c r="I225" s="23"/>
    </row>
    <row r="226" spans="1:9" s="298" customFormat="1">
      <c r="A226" s="305"/>
      <c r="B226" s="146"/>
      <c r="C226" s="300" t="s">
        <v>462</v>
      </c>
      <c r="D226" s="124"/>
      <c r="E226" s="124"/>
      <c r="F226" s="303">
        <f>SUM(F216:F225)</f>
        <v>0</v>
      </c>
      <c r="G226" s="303">
        <f>SUM(G216:G225)</f>
        <v>0</v>
      </c>
      <c r="H226" s="146"/>
      <c r="I226" s="490"/>
    </row>
    <row r="227" spans="1:9" s="76" customFormat="1" ht="21" customHeight="1">
      <c r="A227" s="526">
        <v>2.11</v>
      </c>
      <c r="B227" s="87" t="s">
        <v>1202</v>
      </c>
      <c r="C227" s="87"/>
      <c r="D227" s="87"/>
      <c r="E227" s="87"/>
      <c r="F227" s="87"/>
      <c r="G227" s="87"/>
      <c r="H227" s="87"/>
      <c r="I227" s="181"/>
    </row>
    <row r="228" spans="1:9" s="298" customFormat="1">
      <c r="A228" s="100"/>
      <c r="B228" s="495"/>
      <c r="C228" s="480"/>
      <c r="D228" s="267" t="s">
        <v>312</v>
      </c>
      <c r="E228" s="116" t="s">
        <v>287</v>
      </c>
      <c r="F228" s="105" t="s">
        <v>584</v>
      </c>
      <c r="G228" s="105" t="s">
        <v>584</v>
      </c>
      <c r="H228" s="1381" t="s">
        <v>474</v>
      </c>
      <c r="I228" s="1382"/>
    </row>
    <row r="229" spans="1:9" s="298" customFormat="1">
      <c r="A229" s="290"/>
      <c r="B229" s="496"/>
      <c r="C229" s="481"/>
      <c r="D229" s="473" t="s">
        <v>306</v>
      </c>
      <c r="E229" s="237"/>
      <c r="F229" s="237" t="s">
        <v>583</v>
      </c>
      <c r="G229" s="237" t="s">
        <v>585</v>
      </c>
      <c r="H229" s="482"/>
      <c r="I229" s="483"/>
    </row>
    <row r="230" spans="1:9" s="298" customFormat="1">
      <c r="A230" s="277"/>
      <c r="B230" s="505"/>
      <c r="C230" s="506"/>
      <c r="D230" s="470" t="s">
        <v>307</v>
      </c>
      <c r="E230" s="525"/>
      <c r="F230" s="507"/>
      <c r="G230" s="508"/>
      <c r="H230" s="509"/>
      <c r="I230" s="510"/>
    </row>
    <row r="231" spans="1:9" s="436" customFormat="1">
      <c r="A231" s="491"/>
      <c r="B231" s="515" t="s">
        <v>623</v>
      </c>
      <c r="C231" s="471"/>
      <c r="D231" s="491"/>
      <c r="E231" s="491"/>
      <c r="F231" s="491"/>
      <c r="G231" s="491"/>
      <c r="H231" s="446"/>
      <c r="I231" s="467"/>
    </row>
    <row r="232" spans="1:9" s="436" customFormat="1" ht="13.5" customHeight="1">
      <c r="A232" s="9"/>
      <c r="B232" s="527" t="s">
        <v>1212</v>
      </c>
      <c r="C232" s="467"/>
      <c r="D232" s="9"/>
      <c r="E232" s="9"/>
      <c r="F232" s="9"/>
      <c r="G232" s="9"/>
      <c r="H232" s="447"/>
      <c r="I232" s="467"/>
    </row>
    <row r="233" spans="1:9" s="298" customFormat="1">
      <c r="A233" s="11"/>
      <c r="B233" s="447" t="s">
        <v>566</v>
      </c>
      <c r="C233" s="17" t="s">
        <v>571</v>
      </c>
      <c r="D233" s="2"/>
      <c r="E233" s="513">
        <v>112.5</v>
      </c>
      <c r="F233" s="273">
        <f>IF(D233&gt;=1,E233,IF(D233=0,0,(D233*E233)/2))</f>
        <v>0</v>
      </c>
      <c r="G233" s="273">
        <f>F233/15</f>
        <v>0</v>
      </c>
      <c r="H233" s="21"/>
      <c r="I233" s="23"/>
    </row>
    <row r="234" spans="1:9" s="298" customFormat="1">
      <c r="A234" s="11"/>
      <c r="B234" s="447" t="s">
        <v>567</v>
      </c>
      <c r="C234" s="17" t="s">
        <v>571</v>
      </c>
      <c r="D234" s="2"/>
      <c r="E234" s="513">
        <v>112.5</v>
      </c>
      <c r="F234" s="273">
        <f>IF(D234&gt;=1,E234,IF(D234=0,0,(D234*E234)/2))</f>
        <v>0</v>
      </c>
      <c r="G234" s="273">
        <f>F234/15</f>
        <v>0</v>
      </c>
      <c r="H234" s="21"/>
      <c r="I234" s="23"/>
    </row>
    <row r="235" spans="1:9" s="298" customFormat="1">
      <c r="A235" s="11"/>
      <c r="B235" s="447" t="s">
        <v>568</v>
      </c>
      <c r="C235" s="17" t="s">
        <v>571</v>
      </c>
      <c r="D235" s="2"/>
      <c r="E235" s="513">
        <v>112.5</v>
      </c>
      <c r="F235" s="273">
        <f>IF(D235&gt;=1,E235,IF(D235=0,0,(D235*E235)/2))</f>
        <v>0</v>
      </c>
      <c r="G235" s="273">
        <f>F235/15</f>
        <v>0</v>
      </c>
      <c r="H235" s="21"/>
      <c r="I235" s="23"/>
    </row>
    <row r="236" spans="1:9" s="298" customFormat="1">
      <c r="A236" s="11"/>
      <c r="B236" s="447" t="s">
        <v>569</v>
      </c>
      <c r="C236" s="17" t="s">
        <v>571</v>
      </c>
      <c r="D236" s="2"/>
      <c r="E236" s="513">
        <v>112.5</v>
      </c>
      <c r="F236" s="273">
        <f>IF(D236&gt;=1,E236,IF(D236=0,0,(D236*E236)/2))</f>
        <v>0</v>
      </c>
      <c r="G236" s="273">
        <f>F236/15</f>
        <v>0</v>
      </c>
      <c r="H236" s="21"/>
      <c r="I236" s="23"/>
    </row>
    <row r="237" spans="1:9" s="298" customFormat="1">
      <c r="A237" s="11"/>
      <c r="B237" s="447" t="s">
        <v>570</v>
      </c>
      <c r="C237" s="17" t="s">
        <v>571</v>
      </c>
      <c r="D237" s="2"/>
      <c r="E237" s="513">
        <v>112.5</v>
      </c>
      <c r="F237" s="273">
        <f>IF(D237&gt;=1,E237,IF(D237=0,0,(D237*E237)/2))</f>
        <v>0</v>
      </c>
      <c r="G237" s="273">
        <f>F237/15</f>
        <v>0</v>
      </c>
      <c r="H237" s="21"/>
      <c r="I237" s="23"/>
    </row>
    <row r="238" spans="1:9" s="298" customFormat="1">
      <c r="A238" s="11"/>
      <c r="B238" s="146"/>
      <c r="C238" s="300" t="s">
        <v>462</v>
      </c>
      <c r="D238" s="124"/>
      <c r="E238" s="468"/>
      <c r="F238" s="303">
        <f>SUM(F233:F237)</f>
        <v>0</v>
      </c>
      <c r="G238" s="303">
        <f>SUM(G233:G237)</f>
        <v>0</v>
      </c>
      <c r="H238" s="146"/>
      <c r="I238" s="490"/>
    </row>
    <row r="239" spans="1:9" s="436" customFormat="1" ht="15" customHeight="1">
      <c r="A239" s="447"/>
      <c r="B239" s="527" t="s">
        <v>1213</v>
      </c>
      <c r="D239" s="114"/>
      <c r="E239" s="114"/>
      <c r="F239" s="114"/>
      <c r="G239" s="114"/>
      <c r="H239" s="447"/>
      <c r="I239" s="467"/>
    </row>
    <row r="240" spans="1:9" s="298" customFormat="1">
      <c r="A240" s="528"/>
      <c r="B240" s="447" t="s">
        <v>566</v>
      </c>
      <c r="C240" s="17" t="s">
        <v>571</v>
      </c>
      <c r="D240" s="2"/>
      <c r="E240" s="513">
        <v>225</v>
      </c>
      <c r="F240" s="273">
        <f>IF(D240&gt;=1,E240,IF(D240=0,0,(D240*E240)/2))</f>
        <v>0</v>
      </c>
      <c r="G240" s="273">
        <f>F240/15</f>
        <v>0</v>
      </c>
      <c r="H240" s="21"/>
      <c r="I240" s="23"/>
    </row>
    <row r="241" spans="1:9" s="298" customFormat="1">
      <c r="A241" s="528"/>
      <c r="B241" s="447" t="s">
        <v>567</v>
      </c>
      <c r="C241" s="17" t="s">
        <v>571</v>
      </c>
      <c r="D241" s="2"/>
      <c r="E241" s="513">
        <v>225</v>
      </c>
      <c r="F241" s="273">
        <f>IF(D241&gt;=1,E241,IF(D241=0,0,(D241*E241)/2))</f>
        <v>0</v>
      </c>
      <c r="G241" s="273">
        <f>F241/15</f>
        <v>0</v>
      </c>
      <c r="H241" s="21"/>
      <c r="I241" s="23"/>
    </row>
    <row r="242" spans="1:9" s="298" customFormat="1">
      <c r="A242" s="528"/>
      <c r="B242" s="447" t="s">
        <v>568</v>
      </c>
      <c r="C242" s="17" t="s">
        <v>571</v>
      </c>
      <c r="D242" s="2"/>
      <c r="E242" s="513">
        <v>225</v>
      </c>
      <c r="F242" s="273">
        <f>IF(D242&gt;=1,E242,IF(D242=0,0,(D242*E242)/2))</f>
        <v>0</v>
      </c>
      <c r="G242" s="273">
        <f>F242/15</f>
        <v>0</v>
      </c>
      <c r="H242" s="21"/>
      <c r="I242" s="23"/>
    </row>
    <row r="243" spans="1:9" s="298" customFormat="1">
      <c r="A243" s="528"/>
      <c r="B243" s="447" t="s">
        <v>569</v>
      </c>
      <c r="C243" s="17" t="s">
        <v>571</v>
      </c>
      <c r="D243" s="2"/>
      <c r="E243" s="513">
        <v>225</v>
      </c>
      <c r="F243" s="273">
        <f>IF(D243&gt;=1,E243,IF(D243=0,0,(D243*E243)/2))</f>
        <v>0</v>
      </c>
      <c r="G243" s="273">
        <f>F243/15</f>
        <v>0</v>
      </c>
      <c r="H243" s="21"/>
      <c r="I243" s="23"/>
    </row>
    <row r="244" spans="1:9" s="298" customFormat="1">
      <c r="A244" s="528"/>
      <c r="B244" s="447" t="s">
        <v>570</v>
      </c>
      <c r="C244" s="17" t="s">
        <v>571</v>
      </c>
      <c r="D244" s="2"/>
      <c r="E244" s="513">
        <v>225</v>
      </c>
      <c r="F244" s="273">
        <f>IF(D244&gt;=1,E244,IF(D244=0,0,(D244*E244)/2))</f>
        <v>0</v>
      </c>
      <c r="G244" s="273">
        <f>F244/15</f>
        <v>0</v>
      </c>
      <c r="H244" s="21"/>
      <c r="I244" s="23"/>
    </row>
    <row r="245" spans="1:9" s="298" customFormat="1">
      <c r="A245" s="529"/>
      <c r="B245" s="146"/>
      <c r="C245" s="300" t="s">
        <v>462</v>
      </c>
      <c r="D245" s="124"/>
      <c r="E245" s="468"/>
      <c r="F245" s="303">
        <f>SUM(F240:F244)</f>
        <v>0</v>
      </c>
      <c r="G245" s="303">
        <f>SUM(G240:G244)</f>
        <v>0</v>
      </c>
      <c r="H245" s="146"/>
      <c r="I245" s="490"/>
    </row>
    <row r="246" spans="1:9" s="298" customFormat="1">
      <c r="A246" s="100"/>
      <c r="B246" s="495"/>
      <c r="C246" s="480"/>
      <c r="D246" s="267" t="s">
        <v>312</v>
      </c>
      <c r="E246" s="116" t="s">
        <v>287</v>
      </c>
      <c r="F246" s="105" t="s">
        <v>584</v>
      </c>
      <c r="G246" s="105" t="s">
        <v>584</v>
      </c>
      <c r="H246" s="1381" t="s">
        <v>474</v>
      </c>
      <c r="I246" s="1382"/>
    </row>
    <row r="247" spans="1:9" s="298" customFormat="1">
      <c r="A247" s="290"/>
      <c r="B247" s="496"/>
      <c r="C247" s="481"/>
      <c r="D247" s="473" t="s">
        <v>306</v>
      </c>
      <c r="E247" s="237"/>
      <c r="F247" s="237" t="s">
        <v>583</v>
      </c>
      <c r="G247" s="237" t="s">
        <v>585</v>
      </c>
      <c r="H247" s="482"/>
      <c r="I247" s="483"/>
    </row>
    <row r="248" spans="1:9" s="298" customFormat="1">
      <c r="A248" s="277"/>
      <c r="B248" s="505"/>
      <c r="C248" s="506"/>
      <c r="D248" s="470" t="s">
        <v>307</v>
      </c>
      <c r="E248" s="525"/>
      <c r="F248" s="507"/>
      <c r="G248" s="508"/>
      <c r="H248" s="509"/>
      <c r="I248" s="510"/>
    </row>
    <row r="249" spans="1:9" s="436" customFormat="1">
      <c r="A249" s="491"/>
      <c r="B249" s="515" t="s">
        <v>624</v>
      </c>
      <c r="C249" s="471"/>
      <c r="D249" s="491"/>
      <c r="E249" s="491"/>
      <c r="F249" s="491"/>
      <c r="G249" s="491"/>
      <c r="H249" s="447"/>
      <c r="I249" s="467"/>
    </row>
    <row r="250" spans="1:9" s="436" customFormat="1" ht="13.5" customHeight="1">
      <c r="A250" s="9"/>
      <c r="B250" s="527" t="s">
        <v>1212</v>
      </c>
      <c r="C250" s="467"/>
      <c r="D250" s="9"/>
      <c r="E250" s="9"/>
      <c r="F250" s="9"/>
      <c r="G250" s="9"/>
      <c r="H250" s="447"/>
      <c r="I250" s="467"/>
    </row>
    <row r="251" spans="1:9" s="298" customFormat="1">
      <c r="A251" s="11"/>
      <c r="B251" s="447" t="s">
        <v>566</v>
      </c>
      <c r="C251" s="17" t="s">
        <v>571</v>
      </c>
      <c r="D251" s="2"/>
      <c r="E251" s="513">
        <v>34.5</v>
      </c>
      <c r="F251" s="273">
        <f>IF(D251&gt;=1,E251,IF(D251=0,0,(D251*E251)/2))</f>
        <v>0</v>
      </c>
      <c r="G251" s="273">
        <f>F251/15</f>
        <v>0</v>
      </c>
      <c r="H251" s="21"/>
      <c r="I251" s="23"/>
    </row>
    <row r="252" spans="1:9" s="298" customFormat="1">
      <c r="A252" s="11"/>
      <c r="B252" s="447" t="s">
        <v>567</v>
      </c>
      <c r="C252" s="17" t="s">
        <v>571</v>
      </c>
      <c r="D252" s="2"/>
      <c r="E252" s="513">
        <v>34.5</v>
      </c>
      <c r="F252" s="273">
        <f>IF(D252&gt;=1,E252,IF(D252=0,0,(D252*E252)/2))</f>
        <v>0</v>
      </c>
      <c r="G252" s="273">
        <f>F252/15</f>
        <v>0</v>
      </c>
      <c r="H252" s="21"/>
      <c r="I252" s="23"/>
    </row>
    <row r="253" spans="1:9" s="298" customFormat="1">
      <c r="A253" s="11"/>
      <c r="B253" s="447" t="s">
        <v>568</v>
      </c>
      <c r="C253" s="17" t="s">
        <v>571</v>
      </c>
      <c r="D253" s="2"/>
      <c r="E253" s="513">
        <v>34.5</v>
      </c>
      <c r="F253" s="273">
        <f>IF(D253&gt;=1,E253,IF(D253=0,0,(D253*E253)/2))</f>
        <v>0</v>
      </c>
      <c r="G253" s="273">
        <f>F253/15</f>
        <v>0</v>
      </c>
      <c r="H253" s="21"/>
      <c r="I253" s="23"/>
    </row>
    <row r="254" spans="1:9" s="298" customFormat="1">
      <c r="A254" s="11"/>
      <c r="B254" s="447" t="s">
        <v>569</v>
      </c>
      <c r="C254" s="17" t="s">
        <v>571</v>
      </c>
      <c r="D254" s="2"/>
      <c r="E254" s="513">
        <v>34.5</v>
      </c>
      <c r="F254" s="273">
        <f>IF(D254&gt;=1,E254,IF(D254=0,0,(D254*E254)/2))</f>
        <v>0</v>
      </c>
      <c r="G254" s="273">
        <f>F254/15</f>
        <v>0</v>
      </c>
      <c r="H254" s="21"/>
      <c r="I254" s="23"/>
    </row>
    <row r="255" spans="1:9" s="298" customFormat="1">
      <c r="A255" s="11"/>
      <c r="B255" s="447" t="s">
        <v>570</v>
      </c>
      <c r="C255" s="17" t="s">
        <v>571</v>
      </c>
      <c r="D255" s="2"/>
      <c r="E255" s="513">
        <v>34.5</v>
      </c>
      <c r="F255" s="273">
        <f>IF(D255&gt;=1,E255,IF(D255=0,0,(D255*E255)/2))</f>
        <v>0</v>
      </c>
      <c r="G255" s="273">
        <f>F255/15</f>
        <v>0</v>
      </c>
      <c r="H255" s="21"/>
      <c r="I255" s="23"/>
    </row>
    <row r="256" spans="1:9" s="298" customFormat="1">
      <c r="A256" s="11"/>
      <c r="B256" s="146"/>
      <c r="C256" s="300" t="s">
        <v>462</v>
      </c>
      <c r="D256" s="124"/>
      <c r="E256" s="468"/>
      <c r="F256" s="303">
        <f>SUM(F251:F255)</f>
        <v>0</v>
      </c>
      <c r="G256" s="303">
        <f>SUM(G251:G255)</f>
        <v>0</v>
      </c>
      <c r="H256" s="146"/>
      <c r="I256" s="490"/>
    </row>
    <row r="257" spans="1:9" s="436" customFormat="1" ht="15" customHeight="1">
      <c r="A257" s="447"/>
      <c r="B257" s="527" t="s">
        <v>1213</v>
      </c>
      <c r="D257" s="114"/>
      <c r="E257" s="530"/>
      <c r="F257" s="521"/>
      <c r="G257" s="521"/>
      <c r="H257" s="447"/>
      <c r="I257" s="467"/>
    </row>
    <row r="258" spans="1:9" s="298" customFormat="1">
      <c r="A258" s="11"/>
      <c r="B258" s="447" t="s">
        <v>566</v>
      </c>
      <c r="C258" s="17" t="s">
        <v>571</v>
      </c>
      <c r="D258" s="2"/>
      <c r="E258" s="513">
        <v>67.5</v>
      </c>
      <c r="F258" s="273">
        <f>IF(D258&gt;=1,E258,IF(D258=0,0,(D258*E258)/2))</f>
        <v>0</v>
      </c>
      <c r="G258" s="273">
        <f>F258/15</f>
        <v>0</v>
      </c>
      <c r="H258" s="21"/>
      <c r="I258" s="23"/>
    </row>
    <row r="259" spans="1:9" s="298" customFormat="1">
      <c r="A259" s="11"/>
      <c r="B259" s="447" t="s">
        <v>567</v>
      </c>
      <c r="C259" s="17" t="s">
        <v>571</v>
      </c>
      <c r="D259" s="2"/>
      <c r="E259" s="513">
        <v>67.5</v>
      </c>
      <c r="F259" s="273">
        <f>IF(D259&gt;=1,E259,IF(D259=0,0,(D259*E259)/2))</f>
        <v>0</v>
      </c>
      <c r="G259" s="273">
        <f>F259/15</f>
        <v>0</v>
      </c>
      <c r="H259" s="21"/>
      <c r="I259" s="23"/>
    </row>
    <row r="260" spans="1:9" s="298" customFormat="1">
      <c r="A260" s="11"/>
      <c r="B260" s="447" t="s">
        <v>568</v>
      </c>
      <c r="C260" s="17" t="s">
        <v>571</v>
      </c>
      <c r="D260" s="2"/>
      <c r="E260" s="513">
        <v>67.5</v>
      </c>
      <c r="F260" s="273">
        <f>IF(D260&gt;=1,E260,IF(D260=0,0,(D260*E260)/2))</f>
        <v>0</v>
      </c>
      <c r="G260" s="273">
        <f>F260/15</f>
        <v>0</v>
      </c>
      <c r="H260" s="21"/>
      <c r="I260" s="23"/>
    </row>
    <row r="261" spans="1:9" s="298" customFormat="1">
      <c r="A261" s="11"/>
      <c r="B261" s="447" t="s">
        <v>569</v>
      </c>
      <c r="C261" s="17" t="s">
        <v>571</v>
      </c>
      <c r="D261" s="2"/>
      <c r="E261" s="513">
        <v>67.5</v>
      </c>
      <c r="F261" s="273">
        <f>IF(D261&gt;=1,E261,IF(D261=0,0,(D261*E261)/2))</f>
        <v>0</v>
      </c>
      <c r="G261" s="273">
        <f>F261/15</f>
        <v>0</v>
      </c>
      <c r="H261" s="21"/>
      <c r="I261" s="23"/>
    </row>
    <row r="262" spans="1:9" s="298" customFormat="1">
      <c r="A262" s="11"/>
      <c r="B262" s="447" t="s">
        <v>570</v>
      </c>
      <c r="C262" s="17" t="s">
        <v>571</v>
      </c>
      <c r="D262" s="2"/>
      <c r="E262" s="513">
        <v>67.5</v>
      </c>
      <c r="F262" s="273">
        <f>IF(D262&gt;=1,E262,IF(D262=0,0,(D262*E262)/2))</f>
        <v>0</v>
      </c>
      <c r="G262" s="273">
        <f>F262/15</f>
        <v>0</v>
      </c>
      <c r="H262" s="21"/>
      <c r="I262" s="23"/>
    </row>
    <row r="263" spans="1:9" s="298" customFormat="1">
      <c r="A263" s="305"/>
      <c r="B263" s="146"/>
      <c r="C263" s="300" t="s">
        <v>462</v>
      </c>
      <c r="D263" s="124"/>
      <c r="E263" s="468"/>
      <c r="F263" s="303">
        <f>SUM(F258:F262)</f>
        <v>0</v>
      </c>
      <c r="G263" s="303">
        <f>SUM(G258:G262)</f>
        <v>0</v>
      </c>
      <c r="H263" s="146"/>
      <c r="I263" s="490"/>
    </row>
    <row r="264" spans="1:9" s="298" customFormat="1">
      <c r="A264" s="885"/>
      <c r="B264" s="886"/>
      <c r="C264" s="887"/>
      <c r="D264" s="166" t="s">
        <v>1193</v>
      </c>
      <c r="E264" s="888" t="s">
        <v>287</v>
      </c>
      <c r="F264" s="105" t="s">
        <v>584</v>
      </c>
      <c r="G264" s="105" t="s">
        <v>584</v>
      </c>
      <c r="H264" s="1385" t="s">
        <v>474</v>
      </c>
      <c r="I264" s="1386"/>
    </row>
    <row r="265" spans="1:9" s="298" customFormat="1">
      <c r="A265" s="312"/>
      <c r="B265" s="313"/>
      <c r="C265" s="889"/>
      <c r="D265" s="890" t="s">
        <v>1194</v>
      </c>
      <c r="E265" s="891"/>
      <c r="F265" s="237" t="s">
        <v>583</v>
      </c>
      <c r="G265" s="237" t="s">
        <v>585</v>
      </c>
      <c r="H265" s="892"/>
      <c r="I265" s="893"/>
    </row>
    <row r="266" spans="1:9" s="436" customFormat="1">
      <c r="A266" s="491"/>
      <c r="B266" s="1160" t="s">
        <v>776</v>
      </c>
      <c r="C266" s="1161"/>
      <c r="D266" s="517"/>
      <c r="E266" s="517"/>
      <c r="F266" s="517"/>
      <c r="G266" s="517"/>
      <c r="H266" s="1162"/>
      <c r="I266" s="1161"/>
    </row>
    <row r="267" spans="1:9" s="436" customFormat="1">
      <c r="A267" s="9"/>
      <c r="B267" s="1163" t="s">
        <v>1217</v>
      </c>
      <c r="C267" s="443"/>
      <c r="D267" s="1166"/>
      <c r="E267" s="513">
        <v>0.5</v>
      </c>
      <c r="F267" s="1157">
        <f t="shared" ref="F267:F272" si="12">IF(D267=0,0,(D267*E267))</f>
        <v>0</v>
      </c>
      <c r="G267" s="1157">
        <f t="shared" ref="G267:G272" si="13">F267/15</f>
        <v>0</v>
      </c>
      <c r="H267" s="1158"/>
      <c r="I267" s="1156"/>
    </row>
    <row r="268" spans="1:9" s="298" customFormat="1">
      <c r="A268" s="894"/>
      <c r="B268" s="1163" t="s">
        <v>1219</v>
      </c>
      <c r="C268" s="1165"/>
      <c r="D268" s="1199"/>
      <c r="E268" s="513">
        <v>3</v>
      </c>
      <c r="F268" s="1157">
        <f t="shared" si="12"/>
        <v>0</v>
      </c>
      <c r="G268" s="1157">
        <f t="shared" si="13"/>
        <v>0</v>
      </c>
      <c r="H268" s="1200"/>
      <c r="I268" s="1159"/>
    </row>
    <row r="269" spans="1:9" s="298" customFormat="1">
      <c r="A269" s="895"/>
      <c r="B269" s="443" t="s">
        <v>1220</v>
      </c>
      <c r="C269" s="1164"/>
      <c r="D269" s="1166"/>
      <c r="E269" s="513">
        <v>6</v>
      </c>
      <c r="F269" s="1157">
        <f t="shared" si="12"/>
        <v>0</v>
      </c>
      <c r="G269" s="1157">
        <f t="shared" si="13"/>
        <v>0</v>
      </c>
      <c r="H269" s="1158"/>
      <c r="I269" s="1159"/>
    </row>
    <row r="270" spans="1:9" s="298" customFormat="1">
      <c r="A270" s="895"/>
      <c r="B270" s="443" t="s">
        <v>1253</v>
      </c>
      <c r="C270" s="1164"/>
      <c r="D270" s="1166"/>
      <c r="E270" s="513">
        <v>6</v>
      </c>
      <c r="F270" s="1157">
        <f t="shared" si="12"/>
        <v>0</v>
      </c>
      <c r="G270" s="1157">
        <f t="shared" si="13"/>
        <v>0</v>
      </c>
      <c r="H270" s="1158"/>
      <c r="I270" s="1159"/>
    </row>
    <row r="271" spans="1:9" s="298" customFormat="1">
      <c r="A271" s="895"/>
      <c r="B271" s="443" t="s">
        <v>1221</v>
      </c>
      <c r="C271" s="1164"/>
      <c r="D271" s="1166"/>
      <c r="E271" s="513">
        <v>9</v>
      </c>
      <c r="F271" s="1157">
        <f t="shared" si="12"/>
        <v>0</v>
      </c>
      <c r="G271" s="1157">
        <f t="shared" si="13"/>
        <v>0</v>
      </c>
      <c r="H271" s="1158"/>
      <c r="I271" s="1159"/>
    </row>
    <row r="272" spans="1:9" s="298" customFormat="1">
      <c r="A272" s="895"/>
      <c r="B272" s="443" t="s">
        <v>1191</v>
      </c>
      <c r="C272" s="1164"/>
      <c r="D272" s="1166"/>
      <c r="E272" s="513">
        <v>12</v>
      </c>
      <c r="F272" s="1157">
        <f t="shared" si="12"/>
        <v>0</v>
      </c>
      <c r="G272" s="1157">
        <f t="shared" si="13"/>
        <v>0</v>
      </c>
      <c r="H272" s="1158"/>
      <c r="I272" s="1159"/>
    </row>
    <row r="273" spans="1:9" s="298" customFormat="1">
      <c r="A273" s="305"/>
      <c r="B273" s="129"/>
      <c r="C273" s="300" t="s">
        <v>462</v>
      </c>
      <c r="D273" s="124"/>
      <c r="E273" s="468"/>
      <c r="F273" s="303">
        <f>SUM(F267:F272)</f>
        <v>0</v>
      </c>
      <c r="G273" s="303">
        <f>SUM(G267:G272)</f>
        <v>0</v>
      </c>
      <c r="H273" s="146"/>
      <c r="I273" s="490"/>
    </row>
    <row r="274" spans="1:9" s="298" customFormat="1" ht="21" customHeight="1">
      <c r="A274" s="131"/>
      <c r="B274" s="132"/>
      <c r="C274" s="132"/>
      <c r="D274" s="132"/>
      <c r="E274" s="133" t="s">
        <v>625</v>
      </c>
      <c r="F274" s="454">
        <f>F238+F245+F263+F256+F273</f>
        <v>0</v>
      </c>
      <c r="G274" s="454">
        <f>G238+G245+G263+G256+G273</f>
        <v>0</v>
      </c>
      <c r="H274" s="493"/>
      <c r="I274" s="494"/>
    </row>
    <row r="275" spans="1:9" s="76" customFormat="1" ht="21" hidden="1" customHeight="1">
      <c r="A275" s="526">
        <v>2.12</v>
      </c>
      <c r="B275" s="87" t="s">
        <v>776</v>
      </c>
      <c r="C275" s="88"/>
      <c r="D275" s="89"/>
      <c r="E275" s="90"/>
      <c r="F275" s="90"/>
      <c r="G275" s="91"/>
      <c r="H275" s="194"/>
      <c r="I275" s="92"/>
    </row>
    <row r="276" spans="1:9" s="298" customFormat="1" hidden="1">
      <c r="A276" s="1185"/>
      <c r="B276" s="844"/>
      <c r="C276" s="845"/>
      <c r="D276" s="846" t="s">
        <v>1193</v>
      </c>
      <c r="E276" s="847" t="s">
        <v>287</v>
      </c>
      <c r="F276" s="848" t="s">
        <v>604</v>
      </c>
      <c r="G276" s="849" t="s">
        <v>604</v>
      </c>
      <c r="H276" s="1383" t="s">
        <v>474</v>
      </c>
      <c r="I276" s="1384"/>
    </row>
    <row r="277" spans="1:9" s="298" customFormat="1" hidden="1">
      <c r="A277" s="850"/>
      <c r="B277" s="851"/>
      <c r="C277" s="852"/>
      <c r="D277" s="853" t="s">
        <v>1194</v>
      </c>
      <c r="E277" s="854"/>
      <c r="F277" s="855" t="s">
        <v>607</v>
      </c>
      <c r="G277" s="856" t="s">
        <v>608</v>
      </c>
      <c r="H277" s="857"/>
      <c r="I277" s="858"/>
    </row>
    <row r="278" spans="1:9" s="298" customFormat="1" hidden="1">
      <c r="A278" s="859"/>
      <c r="B278" s="860"/>
      <c r="C278" s="861"/>
      <c r="D278" s="862"/>
      <c r="E278" s="863"/>
      <c r="F278" s="864"/>
      <c r="G278" s="865"/>
      <c r="H278" s="866"/>
      <c r="I278" s="867"/>
    </row>
    <row r="279" spans="1:9" s="298" customFormat="1" hidden="1">
      <c r="A279" s="846"/>
      <c r="B279" s="868" t="s">
        <v>1189</v>
      </c>
      <c r="C279" s="869"/>
      <c r="D279" s="870">
        <v>3</v>
      </c>
      <c r="E279" s="876">
        <v>3</v>
      </c>
      <c r="F279" s="877">
        <f>IF(D279&gt;=1,E279,IF(D279=0,0,(D279*E279)/2))</f>
        <v>3</v>
      </c>
      <c r="G279" s="877">
        <f>F279/15</f>
        <v>0.2</v>
      </c>
      <c r="H279" s="857"/>
      <c r="I279" s="858"/>
    </row>
    <row r="280" spans="1:9" s="298" customFormat="1" hidden="1">
      <c r="A280" s="871"/>
      <c r="B280" s="872" t="s">
        <v>566</v>
      </c>
      <c r="C280" s="1193" t="s">
        <v>572</v>
      </c>
      <c r="D280" s="1194">
        <v>1</v>
      </c>
      <c r="E280" s="876">
        <v>3</v>
      </c>
      <c r="F280" s="877">
        <f>IF(D280&gt;=1,E280,IF(D280=0,0,(D280*E280)/2))</f>
        <v>3</v>
      </c>
      <c r="G280" s="877">
        <f t="shared" ref="G280:G307" si="14">F280/15</f>
        <v>0.2</v>
      </c>
      <c r="H280" s="1195"/>
      <c r="I280" s="858"/>
    </row>
    <row r="281" spans="1:9" s="298" customFormat="1" hidden="1">
      <c r="A281" s="873"/>
      <c r="B281" s="874" t="s">
        <v>567</v>
      </c>
      <c r="C281" s="1196" t="s">
        <v>572</v>
      </c>
      <c r="D281" s="1197"/>
      <c r="E281" s="876">
        <v>3</v>
      </c>
      <c r="F281" s="878">
        <f t="shared" ref="F281:F307" si="15">IF(D281&gt;=1,E281,IF(D281=0,0,(D281*E281)/2))</f>
        <v>0</v>
      </c>
      <c r="G281" s="878">
        <f t="shared" si="14"/>
        <v>0</v>
      </c>
      <c r="H281" s="1198"/>
      <c r="I281" s="858"/>
    </row>
    <row r="282" spans="1:9" s="298" customFormat="1" hidden="1">
      <c r="A282" s="873"/>
      <c r="B282" s="874" t="s">
        <v>568</v>
      </c>
      <c r="C282" s="1196" t="s">
        <v>572</v>
      </c>
      <c r="D282" s="1197"/>
      <c r="E282" s="876">
        <v>3</v>
      </c>
      <c r="F282" s="878">
        <f t="shared" si="15"/>
        <v>0</v>
      </c>
      <c r="G282" s="878">
        <f t="shared" si="14"/>
        <v>0</v>
      </c>
      <c r="H282" s="1198"/>
      <c r="I282" s="858"/>
    </row>
    <row r="283" spans="1:9" s="298" customFormat="1" hidden="1">
      <c r="A283" s="873"/>
      <c r="B283" s="874" t="s">
        <v>569</v>
      </c>
      <c r="C283" s="1196" t="s">
        <v>572</v>
      </c>
      <c r="D283" s="1197"/>
      <c r="E283" s="876">
        <v>3</v>
      </c>
      <c r="F283" s="878">
        <f t="shared" si="15"/>
        <v>0</v>
      </c>
      <c r="G283" s="878">
        <f t="shared" si="14"/>
        <v>0</v>
      </c>
      <c r="H283" s="1198"/>
      <c r="I283" s="858"/>
    </row>
    <row r="284" spans="1:9" s="298" customFormat="1" hidden="1">
      <c r="A284" s="873"/>
      <c r="B284" s="874" t="s">
        <v>570</v>
      </c>
      <c r="C284" s="1196" t="s">
        <v>572</v>
      </c>
      <c r="D284" s="1197"/>
      <c r="E284" s="876">
        <v>3</v>
      </c>
      <c r="F284" s="878">
        <f t="shared" si="15"/>
        <v>0</v>
      </c>
      <c r="G284" s="878">
        <f t="shared" si="14"/>
        <v>0</v>
      </c>
      <c r="H284" s="1198"/>
      <c r="I284" s="858"/>
    </row>
    <row r="285" spans="1:9" s="298" customFormat="1" hidden="1">
      <c r="A285" s="873"/>
      <c r="B285" s="875" t="s">
        <v>1190</v>
      </c>
      <c r="C285" s="1196"/>
      <c r="D285" s="1197">
        <v>2</v>
      </c>
      <c r="E285" s="879">
        <v>6</v>
      </c>
      <c r="F285" s="878">
        <f t="shared" si="15"/>
        <v>6</v>
      </c>
      <c r="G285" s="878">
        <f t="shared" si="14"/>
        <v>0.4</v>
      </c>
      <c r="H285" s="1198"/>
      <c r="I285" s="858"/>
    </row>
    <row r="286" spans="1:9" s="298" customFormat="1" hidden="1">
      <c r="A286" s="873"/>
      <c r="B286" s="874" t="s">
        <v>777</v>
      </c>
      <c r="C286" s="1196" t="s">
        <v>572</v>
      </c>
      <c r="D286" s="1197">
        <v>1</v>
      </c>
      <c r="E286" s="879">
        <v>6</v>
      </c>
      <c r="F286" s="878">
        <f t="shared" si="15"/>
        <v>6</v>
      </c>
      <c r="G286" s="878">
        <f t="shared" si="14"/>
        <v>0.4</v>
      </c>
      <c r="H286" s="1198"/>
      <c r="I286" s="858"/>
    </row>
    <row r="287" spans="1:9" s="298" customFormat="1" hidden="1">
      <c r="A287" s="873"/>
      <c r="B287" s="874" t="s">
        <v>778</v>
      </c>
      <c r="C287" s="1196" t="s">
        <v>572</v>
      </c>
      <c r="D287" s="1197"/>
      <c r="E287" s="879">
        <v>6</v>
      </c>
      <c r="F287" s="878">
        <f t="shared" si="15"/>
        <v>0</v>
      </c>
      <c r="G287" s="878">
        <f t="shared" si="14"/>
        <v>0</v>
      </c>
      <c r="H287" s="1198"/>
      <c r="I287" s="858"/>
    </row>
    <row r="288" spans="1:9" s="298" customFormat="1" hidden="1">
      <c r="A288" s="873"/>
      <c r="B288" s="874" t="s">
        <v>779</v>
      </c>
      <c r="C288" s="1196" t="s">
        <v>572</v>
      </c>
      <c r="D288" s="1197"/>
      <c r="E288" s="879">
        <v>6</v>
      </c>
      <c r="F288" s="878">
        <f t="shared" si="15"/>
        <v>0</v>
      </c>
      <c r="G288" s="878">
        <f t="shared" si="14"/>
        <v>0</v>
      </c>
      <c r="H288" s="1198"/>
      <c r="I288" s="858"/>
    </row>
    <row r="289" spans="1:9" s="298" customFormat="1" hidden="1">
      <c r="A289" s="873"/>
      <c r="B289" s="874" t="s">
        <v>780</v>
      </c>
      <c r="C289" s="1196" t="s">
        <v>572</v>
      </c>
      <c r="D289" s="1197"/>
      <c r="E289" s="879">
        <v>6</v>
      </c>
      <c r="F289" s="878">
        <f t="shared" si="15"/>
        <v>0</v>
      </c>
      <c r="G289" s="878">
        <f t="shared" si="14"/>
        <v>0</v>
      </c>
      <c r="H289" s="1198"/>
      <c r="I289" s="858"/>
    </row>
    <row r="290" spans="1:9" s="298" customFormat="1" hidden="1">
      <c r="A290" s="873"/>
      <c r="B290" s="874" t="s">
        <v>781</v>
      </c>
      <c r="C290" s="1196" t="s">
        <v>572</v>
      </c>
      <c r="D290" s="1197"/>
      <c r="E290" s="879">
        <v>6</v>
      </c>
      <c r="F290" s="878">
        <f t="shared" si="15"/>
        <v>0</v>
      </c>
      <c r="G290" s="878">
        <f t="shared" si="14"/>
        <v>0</v>
      </c>
      <c r="H290" s="1198"/>
      <c r="I290" s="858"/>
    </row>
    <row r="291" spans="1:9" s="298" customFormat="1" hidden="1">
      <c r="A291" s="873"/>
      <c r="B291" s="875" t="s">
        <v>1192</v>
      </c>
      <c r="C291" s="1196"/>
      <c r="D291" s="1197">
        <v>1</v>
      </c>
      <c r="E291" s="879">
        <v>9</v>
      </c>
      <c r="F291" s="878">
        <f t="shared" si="15"/>
        <v>9</v>
      </c>
      <c r="G291" s="878">
        <f t="shared" si="14"/>
        <v>0.6</v>
      </c>
      <c r="H291" s="1198">
        <v>0.6</v>
      </c>
      <c r="I291" s="858"/>
    </row>
    <row r="292" spans="1:9" s="298" customFormat="1" hidden="1">
      <c r="A292" s="873"/>
      <c r="B292" s="874" t="s">
        <v>782</v>
      </c>
      <c r="C292" s="1196" t="s">
        <v>572</v>
      </c>
      <c r="D292" s="1197"/>
      <c r="E292" s="879">
        <v>17</v>
      </c>
      <c r="F292" s="878">
        <f t="shared" si="15"/>
        <v>0</v>
      </c>
      <c r="G292" s="878">
        <f t="shared" si="14"/>
        <v>0</v>
      </c>
      <c r="H292" s="1198"/>
      <c r="I292" s="858"/>
    </row>
    <row r="293" spans="1:9" s="298" customFormat="1" hidden="1">
      <c r="A293" s="873"/>
      <c r="B293" s="874" t="s">
        <v>783</v>
      </c>
      <c r="C293" s="1196" t="s">
        <v>572</v>
      </c>
      <c r="D293" s="1197"/>
      <c r="E293" s="879">
        <v>17</v>
      </c>
      <c r="F293" s="878">
        <f t="shared" si="15"/>
        <v>0</v>
      </c>
      <c r="G293" s="878">
        <f t="shared" si="14"/>
        <v>0</v>
      </c>
      <c r="H293" s="1198"/>
      <c r="I293" s="858"/>
    </row>
    <row r="294" spans="1:9" s="298" customFormat="1" hidden="1">
      <c r="A294" s="873"/>
      <c r="B294" s="874" t="s">
        <v>784</v>
      </c>
      <c r="C294" s="1196" t="s">
        <v>572</v>
      </c>
      <c r="D294" s="1197"/>
      <c r="E294" s="879">
        <v>17</v>
      </c>
      <c r="F294" s="878">
        <f t="shared" si="15"/>
        <v>0</v>
      </c>
      <c r="G294" s="878">
        <f t="shared" si="14"/>
        <v>0</v>
      </c>
      <c r="H294" s="1198"/>
      <c r="I294" s="858"/>
    </row>
    <row r="295" spans="1:9" s="298" customFormat="1" hidden="1">
      <c r="A295" s="873"/>
      <c r="B295" s="874" t="s">
        <v>785</v>
      </c>
      <c r="C295" s="1196" t="s">
        <v>572</v>
      </c>
      <c r="D295" s="1197"/>
      <c r="E295" s="879">
        <v>17</v>
      </c>
      <c r="F295" s="878">
        <f t="shared" si="15"/>
        <v>0</v>
      </c>
      <c r="G295" s="878">
        <f t="shared" si="14"/>
        <v>0</v>
      </c>
      <c r="H295" s="1198"/>
      <c r="I295" s="858"/>
    </row>
    <row r="296" spans="1:9" s="298" customFormat="1" hidden="1">
      <c r="A296" s="873"/>
      <c r="B296" s="874" t="s">
        <v>786</v>
      </c>
      <c r="C296" s="1196" t="s">
        <v>572</v>
      </c>
      <c r="D296" s="1197"/>
      <c r="E296" s="879">
        <v>17</v>
      </c>
      <c r="F296" s="878">
        <f t="shared" si="15"/>
        <v>0</v>
      </c>
      <c r="G296" s="878">
        <f t="shared" si="14"/>
        <v>0</v>
      </c>
      <c r="H296" s="1198"/>
      <c r="I296" s="858"/>
    </row>
    <row r="297" spans="1:9" s="298" customFormat="1" hidden="1">
      <c r="A297" s="873"/>
      <c r="B297" s="875" t="s">
        <v>1191</v>
      </c>
      <c r="C297" s="1196"/>
      <c r="D297" s="1197">
        <v>1</v>
      </c>
      <c r="E297" s="879">
        <v>12</v>
      </c>
      <c r="F297" s="878">
        <f t="shared" si="15"/>
        <v>12</v>
      </c>
      <c r="G297" s="878">
        <f t="shared" si="14"/>
        <v>0.8</v>
      </c>
      <c r="H297" s="1198">
        <v>0.8</v>
      </c>
      <c r="I297" s="858"/>
    </row>
    <row r="298" spans="1:9" s="298" customFormat="1" hidden="1">
      <c r="A298" s="11"/>
      <c r="B298" s="437" t="s">
        <v>787</v>
      </c>
      <c r="C298" s="467" t="s">
        <v>572</v>
      </c>
      <c r="D298" s="117"/>
      <c r="E298" s="513">
        <v>17</v>
      </c>
      <c r="F298" s="273">
        <f t="shared" si="15"/>
        <v>0</v>
      </c>
      <c r="G298" s="273">
        <f t="shared" si="14"/>
        <v>0</v>
      </c>
      <c r="H298" s="447"/>
      <c r="I298" s="483"/>
    </row>
    <row r="299" spans="1:9" s="298" customFormat="1" hidden="1">
      <c r="A299" s="11"/>
      <c r="B299" s="437" t="s">
        <v>788</v>
      </c>
      <c r="C299" s="467" t="s">
        <v>572</v>
      </c>
      <c r="D299" s="117"/>
      <c r="E299" s="513">
        <v>17</v>
      </c>
      <c r="F299" s="273">
        <f t="shared" si="15"/>
        <v>0</v>
      </c>
      <c r="G299" s="273">
        <f t="shared" si="14"/>
        <v>0</v>
      </c>
      <c r="H299" s="447"/>
      <c r="I299" s="483"/>
    </row>
    <row r="300" spans="1:9" s="298" customFormat="1" hidden="1">
      <c r="A300" s="11"/>
      <c r="B300" s="437" t="s">
        <v>789</v>
      </c>
      <c r="C300" s="467" t="s">
        <v>572</v>
      </c>
      <c r="D300" s="117"/>
      <c r="E300" s="513">
        <v>17</v>
      </c>
      <c r="F300" s="273">
        <f t="shared" si="15"/>
        <v>0</v>
      </c>
      <c r="G300" s="273">
        <f t="shared" si="14"/>
        <v>0</v>
      </c>
      <c r="H300" s="447"/>
      <c r="I300" s="483"/>
    </row>
    <row r="301" spans="1:9" s="298" customFormat="1" hidden="1">
      <c r="A301" s="11"/>
      <c r="B301" s="437" t="s">
        <v>790</v>
      </c>
      <c r="C301" s="467" t="s">
        <v>572</v>
      </c>
      <c r="D301" s="117"/>
      <c r="E301" s="513">
        <v>17</v>
      </c>
      <c r="F301" s="273">
        <f t="shared" si="15"/>
        <v>0</v>
      </c>
      <c r="G301" s="273">
        <f t="shared" si="14"/>
        <v>0</v>
      </c>
      <c r="H301" s="447"/>
      <c r="I301" s="483"/>
    </row>
    <row r="302" spans="1:9" s="298" customFormat="1" hidden="1">
      <c r="A302" s="11"/>
      <c r="B302" s="437" t="s">
        <v>791</v>
      </c>
      <c r="C302" s="467" t="s">
        <v>572</v>
      </c>
      <c r="D302" s="117"/>
      <c r="E302" s="513">
        <v>17</v>
      </c>
      <c r="F302" s="273">
        <f t="shared" si="15"/>
        <v>0</v>
      </c>
      <c r="G302" s="273">
        <f t="shared" si="14"/>
        <v>0</v>
      </c>
      <c r="H302" s="447"/>
      <c r="I302" s="483"/>
    </row>
    <row r="303" spans="1:9" s="298" customFormat="1" hidden="1">
      <c r="A303" s="11"/>
      <c r="B303" s="437" t="s">
        <v>792</v>
      </c>
      <c r="C303" s="467" t="s">
        <v>572</v>
      </c>
      <c r="D303" s="117"/>
      <c r="E303" s="513">
        <v>17</v>
      </c>
      <c r="F303" s="273">
        <f t="shared" si="15"/>
        <v>0</v>
      </c>
      <c r="G303" s="273">
        <f t="shared" si="14"/>
        <v>0</v>
      </c>
      <c r="H303" s="447"/>
      <c r="I303" s="483"/>
    </row>
    <row r="304" spans="1:9" s="298" customFormat="1" hidden="1">
      <c r="A304" s="11"/>
      <c r="B304" s="437" t="s">
        <v>793</v>
      </c>
      <c r="C304" s="467" t="s">
        <v>572</v>
      </c>
      <c r="D304" s="117"/>
      <c r="E304" s="513">
        <v>17</v>
      </c>
      <c r="F304" s="273">
        <f t="shared" si="15"/>
        <v>0</v>
      </c>
      <c r="G304" s="273">
        <f t="shared" si="14"/>
        <v>0</v>
      </c>
      <c r="H304" s="447"/>
      <c r="I304" s="483"/>
    </row>
    <row r="305" spans="1:9" s="298" customFormat="1" hidden="1">
      <c r="A305" s="11"/>
      <c r="B305" s="437" t="s">
        <v>794</v>
      </c>
      <c r="C305" s="467" t="s">
        <v>572</v>
      </c>
      <c r="D305" s="117"/>
      <c r="E305" s="513">
        <v>17</v>
      </c>
      <c r="F305" s="273">
        <f t="shared" si="15"/>
        <v>0</v>
      </c>
      <c r="G305" s="273">
        <f t="shared" si="14"/>
        <v>0</v>
      </c>
      <c r="H305" s="447"/>
      <c r="I305" s="483"/>
    </row>
    <row r="306" spans="1:9" s="298" customFormat="1" hidden="1">
      <c r="A306" s="11"/>
      <c r="B306" s="437" t="s">
        <v>795</v>
      </c>
      <c r="C306" s="467" t="s">
        <v>572</v>
      </c>
      <c r="D306" s="117"/>
      <c r="E306" s="513">
        <v>17</v>
      </c>
      <c r="F306" s="273">
        <f t="shared" si="15"/>
        <v>0</v>
      </c>
      <c r="G306" s="273">
        <f t="shared" si="14"/>
        <v>0</v>
      </c>
      <c r="H306" s="447"/>
      <c r="I306" s="483"/>
    </row>
    <row r="307" spans="1:9" s="298" customFormat="1" hidden="1">
      <c r="A307" s="11"/>
      <c r="B307" s="843" t="s">
        <v>796</v>
      </c>
      <c r="C307" s="467" t="s">
        <v>572</v>
      </c>
      <c r="D307" s="1192"/>
      <c r="E307" s="522">
        <v>17</v>
      </c>
      <c r="F307" s="523">
        <f t="shared" si="15"/>
        <v>0</v>
      </c>
      <c r="G307" s="523">
        <f t="shared" si="14"/>
        <v>0</v>
      </c>
      <c r="H307" s="447"/>
      <c r="I307" s="483"/>
    </row>
    <row r="308" spans="1:9" s="298" customFormat="1" hidden="1">
      <c r="A308" s="305"/>
      <c r="B308" s="129"/>
      <c r="C308" s="300" t="s">
        <v>462</v>
      </c>
      <c r="D308" s="124"/>
      <c r="E308" s="468"/>
      <c r="F308" s="303">
        <f>SUM(F280:F307)</f>
        <v>36</v>
      </c>
      <c r="G308" s="303">
        <f>SUM(G280:G307)</f>
        <v>2.4000000000000004</v>
      </c>
      <c r="H308" s="146"/>
      <c r="I308" s="490"/>
    </row>
    <row r="309" spans="1:9" s="76" customFormat="1" ht="21" customHeight="1">
      <c r="A309" s="526">
        <v>2.12</v>
      </c>
      <c r="B309" s="87" t="s">
        <v>573</v>
      </c>
      <c r="C309" s="88"/>
      <c r="D309" s="89"/>
      <c r="E309" s="90"/>
      <c r="F309" s="90"/>
      <c r="G309" s="91"/>
      <c r="H309" s="194"/>
      <c r="I309" s="92"/>
    </row>
    <row r="310" spans="1:9" s="298" customFormat="1">
      <c r="A310" s="100"/>
      <c r="B310" s="495"/>
      <c r="C310" s="480"/>
      <c r="D310" s="267" t="s">
        <v>581</v>
      </c>
      <c r="E310" s="116" t="s">
        <v>287</v>
      </c>
      <c r="F310" s="105" t="s">
        <v>584</v>
      </c>
      <c r="G310" s="105" t="s">
        <v>584</v>
      </c>
      <c r="H310" s="1381" t="s">
        <v>474</v>
      </c>
      <c r="I310" s="1382"/>
    </row>
    <row r="311" spans="1:9" s="298" customFormat="1">
      <c r="A311" s="290"/>
      <c r="B311" s="496"/>
      <c r="C311" s="481"/>
      <c r="D311" s="473" t="s">
        <v>306</v>
      </c>
      <c r="E311" s="237"/>
      <c r="F311" s="237" t="s">
        <v>583</v>
      </c>
      <c r="G311" s="237" t="s">
        <v>585</v>
      </c>
      <c r="H311" s="482"/>
      <c r="I311" s="483"/>
    </row>
    <row r="312" spans="1:9" s="298" customFormat="1">
      <c r="A312" s="277"/>
      <c r="B312" s="505"/>
      <c r="C312" s="506"/>
      <c r="D312" s="470" t="s">
        <v>307</v>
      </c>
      <c r="E312" s="525"/>
      <c r="F312" s="507"/>
      <c r="G312" s="508"/>
      <c r="H312" s="509"/>
      <c r="I312" s="510"/>
    </row>
    <row r="313" spans="1:9" s="298" customFormat="1">
      <c r="A313" s="460"/>
      <c r="B313" s="446" t="s">
        <v>566</v>
      </c>
      <c r="C313" s="16" t="s">
        <v>572</v>
      </c>
      <c r="D313" s="3"/>
      <c r="E313" s="520">
        <v>60</v>
      </c>
      <c r="F313" s="521">
        <f>IF(D313&gt;=1,E313,IF(D313=0,0,(D313*E313)/2))</f>
        <v>0</v>
      </c>
      <c r="G313" s="521">
        <f>F313/15</f>
        <v>0</v>
      </c>
      <c r="H313" s="20"/>
      <c r="I313" s="23"/>
    </row>
    <row r="314" spans="1:9" s="298" customFormat="1">
      <c r="A314" s="11"/>
      <c r="B314" s="447" t="s">
        <v>567</v>
      </c>
      <c r="C314" s="17" t="s">
        <v>572</v>
      </c>
      <c r="D314" s="2"/>
      <c r="E314" s="513">
        <v>60</v>
      </c>
      <c r="F314" s="273">
        <f>IF(D314&gt;=1,E314,IF(D314=0,0,(D314*E314)/2))</f>
        <v>0</v>
      </c>
      <c r="G314" s="273">
        <f>F314/15</f>
        <v>0</v>
      </c>
      <c r="H314" s="21"/>
      <c r="I314" s="23"/>
    </row>
    <row r="315" spans="1:9" s="298" customFormat="1">
      <c r="A315" s="11"/>
      <c r="B315" s="447" t="s">
        <v>568</v>
      </c>
      <c r="C315" s="17" t="s">
        <v>572</v>
      </c>
      <c r="D315" s="2"/>
      <c r="E315" s="513">
        <v>60</v>
      </c>
      <c r="F315" s="273">
        <f>IF(D315&gt;=1,E315,IF(D315=0,0,(D315*E315)/2))</f>
        <v>0</v>
      </c>
      <c r="G315" s="273">
        <f>F315/15</f>
        <v>0</v>
      </c>
      <c r="H315" s="21"/>
      <c r="I315" s="23"/>
    </row>
    <row r="316" spans="1:9" s="298" customFormat="1">
      <c r="A316" s="11"/>
      <c r="B316" s="447" t="s">
        <v>569</v>
      </c>
      <c r="C316" s="17" t="s">
        <v>572</v>
      </c>
      <c r="D316" s="2"/>
      <c r="E316" s="513">
        <v>60</v>
      </c>
      <c r="F316" s="273">
        <f>IF(D316&gt;=1,E316,IF(D316=0,0,(D316*E316)/2))</f>
        <v>0</v>
      </c>
      <c r="G316" s="273">
        <f>F316/15</f>
        <v>0</v>
      </c>
      <c r="H316" s="21"/>
      <c r="I316" s="23"/>
    </row>
    <row r="317" spans="1:9" s="298" customFormat="1">
      <c r="A317" s="11"/>
      <c r="B317" s="447" t="s">
        <v>570</v>
      </c>
      <c r="C317" s="17" t="s">
        <v>572</v>
      </c>
      <c r="D317" s="2"/>
      <c r="E317" s="513">
        <v>60</v>
      </c>
      <c r="F317" s="523">
        <f>IF(D317&gt;=1,E317,IF(D317=0,0,(D317*E317)/2))</f>
        <v>0</v>
      </c>
      <c r="G317" s="273">
        <f>F317/15</f>
        <v>0</v>
      </c>
      <c r="H317" s="21"/>
      <c r="I317" s="23"/>
    </row>
    <row r="318" spans="1:9" s="298" customFormat="1">
      <c r="A318" s="305"/>
      <c r="B318" s="146"/>
      <c r="C318" s="300" t="s">
        <v>462</v>
      </c>
      <c r="D318" s="124"/>
      <c r="E318" s="468"/>
      <c r="F318" s="303">
        <f>SUM(F313:F317)</f>
        <v>0</v>
      </c>
      <c r="G318" s="303">
        <f>SUM(G313:G317)</f>
        <v>0</v>
      </c>
      <c r="H318" s="146"/>
      <c r="I318" s="490"/>
    </row>
    <row r="319" spans="1:9" s="531" customFormat="1" ht="14.25">
      <c r="B319" s="95"/>
      <c r="C319" s="95"/>
      <c r="D319" s="95"/>
      <c r="E319" s="95"/>
      <c r="F319" s="532"/>
      <c r="I319" s="95"/>
    </row>
  </sheetData>
  <sheetProtection password="C924" sheet="1"/>
  <mergeCells count="15">
    <mergeCell ref="H191:I191"/>
    <mergeCell ref="H64:I64"/>
    <mergeCell ref="H118:I118"/>
    <mergeCell ref="H137:I137"/>
    <mergeCell ref="H171:I171"/>
    <mergeCell ref="H181:I181"/>
    <mergeCell ref="H83:I83"/>
    <mergeCell ref="H156:I156"/>
    <mergeCell ref="H310:I310"/>
    <mergeCell ref="H276:I276"/>
    <mergeCell ref="H200:I200"/>
    <mergeCell ref="H213:I213"/>
    <mergeCell ref="H228:I228"/>
    <mergeCell ref="H246:I246"/>
    <mergeCell ref="H264:I264"/>
  </mergeCells>
  <phoneticPr fontId="19" type="noConversion"/>
  <dataValidations count="3">
    <dataValidation type="decimal" allowBlank="1" showInputMessage="1" showErrorMessage="1" error="ตัวเลขที่ท่านกรอกข้อมูลน้อยกว่า หรือมากกว่าค่าที่กำหนด" prompt="กรอกตัวเลขระหว่าง 22.5 - 120" sqref="E216:E225">
      <formula1>22.5</formula1>
      <formula2>120</formula2>
    </dataValidation>
    <dataValidation type="whole" allowBlank="1" showInputMessage="1" showErrorMessage="1" error="สัดส่วนงานคือ 100% ดังนั้นจำนวนผู้วิจัยควรเป็น 1 คน" sqref="E10:E12">
      <formula1>IF(F10=100,1,2)</formula1>
      <formula2>IF(F10=100,1,100)</formula2>
    </dataValidation>
    <dataValidation type="whole" allowBlank="1" showInputMessage="1" showErrorMessage="1" error="ค่าของสัดส่วนงานเกิน 100% กรุณากรอกใหม่ค่ะ" prompt="กรอกตัวเลขระหว่าง 1 - 100" sqref="F29:F38 F10:F24">
      <formula1>1</formula1>
      <formula2>100</formula2>
    </dataValidation>
  </dataValidations>
  <pageMargins left="0.59055118110236227" right="0.39370078740157483" top="0.59055118110236227" bottom="0.39370078740157483" header="0.19685039370078741" footer="0.19685039370078741"/>
  <pageSetup paperSize="9" scale="93" orientation="landscape" r:id="rId1"/>
  <headerFooter alignWithMargins="0">
    <oddHeader>&amp;Rส่วนที่ 2 การคำนวณภาระงานวิจัย   หน้าที่ &amp;P/&amp;N</oddHeader>
    <oddFooter>&amp;Lส่วนที่ 2 การคำนวณภาระงานวิจัย&amp;Cหน้าที่ &amp;P/&amp;N</oddFooter>
  </headerFooter>
  <rowBreaks count="7" manualBreakCount="7">
    <brk id="39" max="16383" man="1"/>
    <brk id="81" max="16383" man="1"/>
    <brk id="116" max="16383" man="1"/>
    <brk id="154" max="16383" man="1"/>
    <brk id="189" max="16383" man="1"/>
    <brk id="226" max="16383" man="1"/>
    <brk id="263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29"/>
  </sheetPr>
  <dimension ref="A2:I425"/>
  <sheetViews>
    <sheetView topLeftCell="A262" zoomScaleSheetLayoutView="70" workbookViewId="0">
      <selection activeCell="C350" sqref="C350"/>
    </sheetView>
  </sheetViews>
  <sheetFormatPr defaultRowHeight="12.75"/>
  <cols>
    <col min="1" max="1" width="5.5703125" style="533" customWidth="1"/>
    <col min="2" max="2" width="14.140625" style="533" customWidth="1"/>
    <col min="3" max="3" width="36.28515625" style="533" customWidth="1"/>
    <col min="4" max="4" width="14.42578125" style="533" customWidth="1"/>
    <col min="5" max="5" width="14" style="533" customWidth="1"/>
    <col min="6" max="6" width="12.5703125" style="533" customWidth="1"/>
    <col min="7" max="7" width="14.42578125" style="533" customWidth="1"/>
    <col min="8" max="8" width="14.7109375" style="533" customWidth="1"/>
    <col min="9" max="16384" width="9.140625" style="533"/>
  </cols>
  <sheetData>
    <row r="2" spans="1:8" s="76" customFormat="1" ht="18">
      <c r="A2" s="1167" t="s">
        <v>1185</v>
      </c>
      <c r="B2" s="444"/>
      <c r="C2" s="444"/>
      <c r="D2" s="1167"/>
      <c r="E2" s="1168"/>
      <c r="F2" s="78"/>
      <c r="G2" s="78"/>
    </row>
    <row r="3" spans="1:8" s="76" customFormat="1" ht="18">
      <c r="E3" s="77"/>
      <c r="F3" s="78"/>
      <c r="G3" s="78"/>
    </row>
    <row r="4" spans="1:8" s="76" customFormat="1" ht="21" customHeight="1">
      <c r="A4" s="79">
        <v>1</v>
      </c>
      <c r="B4" s="80" t="s">
        <v>1028</v>
      </c>
      <c r="C4" s="81"/>
      <c r="D4" s="82"/>
      <c r="E4" s="83"/>
      <c r="F4" s="83"/>
      <c r="G4" s="84"/>
      <c r="H4" s="85"/>
    </row>
    <row r="5" spans="1:8" s="436" customFormat="1">
      <c r="A5" s="264"/>
      <c r="B5" s="292"/>
      <c r="C5" s="265"/>
      <c r="D5" s="267" t="s">
        <v>643</v>
      </c>
      <c r="E5" s="268" t="s">
        <v>604</v>
      </c>
      <c r="F5" s="116" t="s">
        <v>287</v>
      </c>
      <c r="G5" s="105" t="s">
        <v>584</v>
      </c>
      <c r="H5" s="105" t="s">
        <v>584</v>
      </c>
    </row>
    <row r="6" spans="1:8" s="452" customFormat="1">
      <c r="A6" s="269"/>
      <c r="B6" s="294"/>
      <c r="C6" s="270"/>
      <c r="D6" s="271"/>
      <c r="E6" s="271" t="s">
        <v>489</v>
      </c>
      <c r="F6" s="295"/>
      <c r="G6" s="111" t="s">
        <v>583</v>
      </c>
      <c r="H6" s="111" t="s">
        <v>585</v>
      </c>
    </row>
    <row r="7" spans="1:8" s="298" customFormat="1">
      <c r="A7" s="11"/>
      <c r="B7" s="437" t="s">
        <v>629</v>
      </c>
      <c r="C7" s="14" t="s">
        <v>1286</v>
      </c>
      <c r="D7" s="2">
        <v>1</v>
      </c>
      <c r="E7" s="2">
        <v>3</v>
      </c>
      <c r="F7" s="272">
        <v>3</v>
      </c>
      <c r="G7" s="273">
        <f>E7*F7*D7</f>
        <v>9</v>
      </c>
      <c r="H7" s="273">
        <f>G7/15</f>
        <v>0.6</v>
      </c>
    </row>
    <row r="8" spans="1:8" s="298" customFormat="1">
      <c r="A8" s="11"/>
      <c r="B8" s="437" t="s">
        <v>630</v>
      </c>
      <c r="C8" s="14" t="s">
        <v>1287</v>
      </c>
      <c r="D8" s="2">
        <v>1</v>
      </c>
      <c r="E8" s="2">
        <v>3</v>
      </c>
      <c r="F8" s="272">
        <v>3</v>
      </c>
      <c r="G8" s="273">
        <f>E8*F8*D8</f>
        <v>9</v>
      </c>
      <c r="H8" s="273">
        <f>G8/15</f>
        <v>0.6</v>
      </c>
    </row>
    <row r="9" spans="1:8" s="298" customFormat="1">
      <c r="A9" s="11"/>
      <c r="B9" s="437" t="s">
        <v>631</v>
      </c>
      <c r="C9" s="1212" t="s">
        <v>1288</v>
      </c>
      <c r="D9" s="2">
        <v>1</v>
      </c>
      <c r="E9" s="2">
        <v>3</v>
      </c>
      <c r="F9" s="272">
        <v>3</v>
      </c>
      <c r="G9" s="273">
        <f>E9*F9*D9</f>
        <v>9</v>
      </c>
      <c r="H9" s="273">
        <f>G9/15</f>
        <v>0.6</v>
      </c>
    </row>
    <row r="10" spans="1:8" s="298" customFormat="1">
      <c r="A10" s="11"/>
      <c r="B10" s="437" t="s">
        <v>632</v>
      </c>
      <c r="C10" s="1212" t="s">
        <v>1289</v>
      </c>
      <c r="D10" s="2">
        <v>3</v>
      </c>
      <c r="E10" s="2">
        <v>3</v>
      </c>
      <c r="F10" s="272">
        <v>3</v>
      </c>
      <c r="G10" s="273">
        <f>E10*F10*D10</f>
        <v>27</v>
      </c>
      <c r="H10" s="273">
        <f>G10/15</f>
        <v>1.8</v>
      </c>
    </row>
    <row r="11" spans="1:8" s="298" customFormat="1">
      <c r="A11" s="11"/>
      <c r="B11" s="437" t="s">
        <v>633</v>
      </c>
      <c r="C11" s="14" t="s">
        <v>1290</v>
      </c>
      <c r="D11" s="2">
        <v>1</v>
      </c>
      <c r="E11" s="2">
        <v>10</v>
      </c>
      <c r="F11" s="272">
        <v>3</v>
      </c>
      <c r="G11" s="273">
        <f>E11*F11*D11</f>
        <v>30</v>
      </c>
      <c r="H11" s="273">
        <f>G11/15</f>
        <v>2</v>
      </c>
    </row>
    <row r="12" spans="1:8" s="298" customFormat="1">
      <c r="A12" s="305"/>
      <c r="B12" s="129"/>
      <c r="C12" s="300" t="s">
        <v>462</v>
      </c>
      <c r="D12" s="534"/>
      <c r="E12" s="124"/>
      <c r="F12" s="302"/>
      <c r="G12" s="303">
        <f>SUM(G7:G11)</f>
        <v>84</v>
      </c>
      <c r="H12" s="303">
        <f>SUM(H7:H11)</f>
        <v>5.6</v>
      </c>
    </row>
    <row r="13" spans="1:8" s="298" customFormat="1">
      <c r="A13" s="535"/>
      <c r="B13" s="178"/>
      <c r="C13" s="536"/>
      <c r="D13" s="537"/>
      <c r="E13" s="538"/>
      <c r="F13" s="535"/>
      <c r="G13" s="539"/>
      <c r="H13" s="539"/>
    </row>
    <row r="14" spans="1:8" s="298" customFormat="1">
      <c r="A14" s="540"/>
      <c r="B14" s="541"/>
      <c r="C14" s="542"/>
      <c r="D14" s="543"/>
      <c r="E14" s="544"/>
      <c r="F14" s="540"/>
      <c r="G14" s="545"/>
      <c r="H14" s="545"/>
    </row>
    <row r="15" spans="1:8" s="76" customFormat="1" ht="21" customHeight="1">
      <c r="A15" s="79">
        <v>2</v>
      </c>
      <c r="B15" s="80" t="s">
        <v>1029</v>
      </c>
      <c r="C15" s="81"/>
      <c r="D15" s="82"/>
      <c r="E15" s="83"/>
      <c r="F15" s="83"/>
      <c r="G15" s="84"/>
      <c r="H15" s="85"/>
    </row>
    <row r="16" spans="1:8" s="436" customFormat="1">
      <c r="A16" s="264"/>
      <c r="B16" s="292"/>
      <c r="C16" s="265"/>
      <c r="D16" s="267" t="s">
        <v>643</v>
      </c>
      <c r="E16" s="268" t="s">
        <v>604</v>
      </c>
      <c r="F16" s="116" t="s">
        <v>287</v>
      </c>
      <c r="G16" s="105" t="s">
        <v>584</v>
      </c>
      <c r="H16" s="105" t="s">
        <v>584</v>
      </c>
    </row>
    <row r="17" spans="1:8" s="452" customFormat="1">
      <c r="A17" s="269"/>
      <c r="B17" s="294"/>
      <c r="C17" s="270"/>
      <c r="D17" s="271"/>
      <c r="E17" s="271" t="s">
        <v>489</v>
      </c>
      <c r="F17" s="295"/>
      <c r="G17" s="111" t="s">
        <v>583</v>
      </c>
      <c r="H17" s="111" t="s">
        <v>585</v>
      </c>
    </row>
    <row r="18" spans="1:8" s="298" customFormat="1">
      <c r="A18" s="11"/>
      <c r="B18" s="437" t="s">
        <v>629</v>
      </c>
      <c r="C18" s="14" t="s">
        <v>1203</v>
      </c>
      <c r="D18" s="2"/>
      <c r="E18" s="2"/>
      <c r="F18" s="272">
        <v>1</v>
      </c>
      <c r="G18" s="273">
        <f>E18*F18*D18</f>
        <v>0</v>
      </c>
      <c r="H18" s="273">
        <f>G18/15</f>
        <v>0</v>
      </c>
    </row>
    <row r="19" spans="1:8" s="298" customFormat="1">
      <c r="A19" s="11"/>
      <c r="B19" s="437" t="s">
        <v>630</v>
      </c>
      <c r="C19" s="14" t="s">
        <v>1203</v>
      </c>
      <c r="D19" s="2"/>
      <c r="E19" s="2"/>
      <c r="F19" s="272">
        <v>1</v>
      </c>
      <c r="G19" s="273">
        <f>E19*F19*D19</f>
        <v>0</v>
      </c>
      <c r="H19" s="273">
        <f>G19/15</f>
        <v>0</v>
      </c>
    </row>
    <row r="20" spans="1:8" s="298" customFormat="1">
      <c r="A20" s="11"/>
      <c r="B20" s="437" t="s">
        <v>631</v>
      </c>
      <c r="C20" s="14" t="s">
        <v>1203</v>
      </c>
      <c r="D20" s="2"/>
      <c r="E20" s="2"/>
      <c r="F20" s="272">
        <v>1</v>
      </c>
      <c r="G20" s="273">
        <f>E20*F20*D20</f>
        <v>0</v>
      </c>
      <c r="H20" s="273">
        <f>G20/15</f>
        <v>0</v>
      </c>
    </row>
    <row r="21" spans="1:8" s="298" customFormat="1">
      <c r="A21" s="11"/>
      <c r="B21" s="437" t="s">
        <v>632</v>
      </c>
      <c r="C21" s="14" t="s">
        <v>1203</v>
      </c>
      <c r="D21" s="2"/>
      <c r="E21" s="2"/>
      <c r="F21" s="272">
        <v>1</v>
      </c>
      <c r="G21" s="273">
        <f>E21*F21*D21</f>
        <v>0</v>
      </c>
      <c r="H21" s="273">
        <f>G21/15</f>
        <v>0</v>
      </c>
    </row>
    <row r="22" spans="1:8" s="298" customFormat="1">
      <c r="A22" s="11"/>
      <c r="B22" s="437" t="s">
        <v>633</v>
      </c>
      <c r="C22" s="14" t="s">
        <v>1203</v>
      </c>
      <c r="D22" s="2"/>
      <c r="E22" s="2"/>
      <c r="F22" s="272">
        <v>1</v>
      </c>
      <c r="G22" s="273">
        <f>E22*F22*D22</f>
        <v>0</v>
      </c>
      <c r="H22" s="273">
        <f>G22/15</f>
        <v>0</v>
      </c>
    </row>
    <row r="23" spans="1:8" s="298" customFormat="1">
      <c r="A23" s="305"/>
      <c r="B23" s="129"/>
      <c r="C23" s="300" t="s">
        <v>462</v>
      </c>
      <c r="D23" s="534"/>
      <c r="E23" s="124"/>
      <c r="F23" s="302"/>
      <c r="G23" s="303">
        <f>SUM(G18:G22)</f>
        <v>0</v>
      </c>
      <c r="H23" s="303">
        <f>SUM(H18:H22)</f>
        <v>0</v>
      </c>
    </row>
    <row r="24" spans="1:8" s="546" customFormat="1">
      <c r="A24" s="535"/>
      <c r="B24" s="178"/>
      <c r="C24" s="536"/>
      <c r="D24" s="537"/>
      <c r="E24" s="538"/>
      <c r="F24" s="535"/>
      <c r="G24" s="539"/>
      <c r="H24" s="539"/>
    </row>
    <row r="25" spans="1:8" s="546" customFormat="1">
      <c r="A25" s="540"/>
      <c r="B25" s="541"/>
      <c r="C25" s="542"/>
      <c r="D25" s="543"/>
      <c r="E25" s="544"/>
      <c r="F25" s="540"/>
      <c r="G25" s="545"/>
      <c r="H25" s="545"/>
    </row>
    <row r="26" spans="1:8" s="76" customFormat="1" ht="21" customHeight="1">
      <c r="A26" s="79">
        <v>3</v>
      </c>
      <c r="B26" s="80" t="s">
        <v>634</v>
      </c>
      <c r="C26" s="81"/>
      <c r="D26" s="82"/>
      <c r="E26" s="83"/>
      <c r="F26" s="83"/>
      <c r="G26" s="84"/>
      <c r="H26" s="85"/>
    </row>
    <row r="27" spans="1:8" s="436" customFormat="1">
      <c r="A27" s="264"/>
      <c r="B27" s="292"/>
      <c r="C27" s="265"/>
      <c r="D27" s="267" t="s">
        <v>643</v>
      </c>
      <c r="E27" s="268" t="s">
        <v>604</v>
      </c>
      <c r="F27" s="116" t="s">
        <v>287</v>
      </c>
      <c r="G27" s="105" t="s">
        <v>584</v>
      </c>
      <c r="H27" s="105" t="s">
        <v>584</v>
      </c>
    </row>
    <row r="28" spans="1:8" s="452" customFormat="1">
      <c r="A28" s="269"/>
      <c r="B28" s="294"/>
      <c r="C28" s="270"/>
      <c r="D28" s="271"/>
      <c r="E28" s="271" t="s">
        <v>351</v>
      </c>
      <c r="F28" s="295"/>
      <c r="G28" s="111" t="s">
        <v>583</v>
      </c>
      <c r="H28" s="111" t="s">
        <v>585</v>
      </c>
    </row>
    <row r="29" spans="1:8" s="298" customFormat="1">
      <c r="A29" s="296"/>
      <c r="B29" s="112" t="s">
        <v>635</v>
      </c>
      <c r="D29" s="117"/>
      <c r="E29" s="117"/>
      <c r="F29" s="11"/>
      <c r="G29" s="11"/>
      <c r="H29" s="11"/>
    </row>
    <row r="30" spans="1:8" s="298" customFormat="1">
      <c r="A30" s="11"/>
      <c r="B30" s="437" t="s">
        <v>636</v>
      </c>
      <c r="C30" s="14" t="s">
        <v>637</v>
      </c>
      <c r="D30" s="2"/>
      <c r="E30" s="2"/>
      <c r="F30" s="272">
        <v>1</v>
      </c>
      <c r="G30" s="273">
        <f>E30*F30*D30</f>
        <v>0</v>
      </c>
      <c r="H30" s="273">
        <f>G30/15</f>
        <v>0</v>
      </c>
    </row>
    <row r="31" spans="1:8" s="298" customFormat="1">
      <c r="A31" s="11"/>
      <c r="B31" s="437" t="s">
        <v>638</v>
      </c>
      <c r="C31" s="14" t="s">
        <v>637</v>
      </c>
      <c r="D31" s="2"/>
      <c r="E31" s="2"/>
      <c r="F31" s="272">
        <v>1</v>
      </c>
      <c r="G31" s="273">
        <f>E31*F31*D31</f>
        <v>0</v>
      </c>
      <c r="H31" s="273">
        <f>G31/15</f>
        <v>0</v>
      </c>
    </row>
    <row r="32" spans="1:8" s="298" customFormat="1">
      <c r="A32" s="11"/>
      <c r="B32" s="437" t="s">
        <v>639</v>
      </c>
      <c r="C32" s="14" t="s">
        <v>637</v>
      </c>
      <c r="D32" s="2"/>
      <c r="E32" s="2"/>
      <c r="F32" s="272">
        <v>1</v>
      </c>
      <c r="G32" s="273">
        <f>E32*F32*D32</f>
        <v>0</v>
      </c>
      <c r="H32" s="273">
        <f>G32/15</f>
        <v>0</v>
      </c>
    </row>
    <row r="33" spans="1:8" s="298" customFormat="1">
      <c r="A33" s="11"/>
      <c r="B33" s="437" t="s">
        <v>640</v>
      </c>
      <c r="C33" s="14" t="s">
        <v>637</v>
      </c>
      <c r="D33" s="2"/>
      <c r="E33" s="2"/>
      <c r="F33" s="272">
        <v>1</v>
      </c>
      <c r="G33" s="273">
        <f>E33*F33*D33</f>
        <v>0</v>
      </c>
      <c r="H33" s="273">
        <f>G33/15</f>
        <v>0</v>
      </c>
    </row>
    <row r="34" spans="1:8" s="298" customFormat="1">
      <c r="A34" s="11"/>
      <c r="B34" s="437" t="s">
        <v>641</v>
      </c>
      <c r="C34" s="14" t="s">
        <v>637</v>
      </c>
      <c r="D34" s="2"/>
      <c r="E34" s="2"/>
      <c r="F34" s="272">
        <v>1</v>
      </c>
      <c r="G34" s="273">
        <f>E34*F34*D34</f>
        <v>0</v>
      </c>
      <c r="H34" s="273">
        <f>G34/15</f>
        <v>0</v>
      </c>
    </row>
    <row r="35" spans="1:8" s="298" customFormat="1">
      <c r="A35" s="305"/>
      <c r="B35" s="129"/>
      <c r="C35" s="300" t="s">
        <v>462</v>
      </c>
      <c r="D35" s="534"/>
      <c r="E35" s="124"/>
      <c r="F35" s="302"/>
      <c r="G35" s="303">
        <f>SUM(G30:G34)</f>
        <v>0</v>
      </c>
      <c r="H35" s="303">
        <f>SUM(H30:H34)</f>
        <v>0</v>
      </c>
    </row>
    <row r="36" spans="1:8" s="298" customFormat="1">
      <c r="A36" s="296"/>
      <c r="B36" s="112" t="s">
        <v>642</v>
      </c>
      <c r="D36" s="117"/>
      <c r="E36" s="117"/>
      <c r="F36" s="11"/>
      <c r="G36" s="11"/>
      <c r="H36" s="11"/>
    </row>
    <row r="37" spans="1:8" s="298" customFormat="1">
      <c r="A37" s="11"/>
      <c r="B37" s="437" t="s">
        <v>636</v>
      </c>
      <c r="C37" s="14" t="s">
        <v>637</v>
      </c>
      <c r="D37" s="2"/>
      <c r="E37" s="2"/>
      <c r="F37" s="499">
        <v>1.3</v>
      </c>
      <c r="G37" s="273">
        <f>E37*F37*D37</f>
        <v>0</v>
      </c>
      <c r="H37" s="273">
        <f>G37/15</f>
        <v>0</v>
      </c>
    </row>
    <row r="38" spans="1:8" s="298" customFormat="1">
      <c r="A38" s="11"/>
      <c r="B38" s="437" t="s">
        <v>638</v>
      </c>
      <c r="C38" s="14" t="s">
        <v>637</v>
      </c>
      <c r="D38" s="2"/>
      <c r="E38" s="2"/>
      <c r="F38" s="499">
        <v>1.3</v>
      </c>
      <c r="G38" s="273">
        <f>E38*F38*D38</f>
        <v>0</v>
      </c>
      <c r="H38" s="273">
        <f>G38/15</f>
        <v>0</v>
      </c>
    </row>
    <row r="39" spans="1:8" s="298" customFormat="1">
      <c r="A39" s="11"/>
      <c r="B39" s="437" t="s">
        <v>639</v>
      </c>
      <c r="C39" s="14" t="s">
        <v>637</v>
      </c>
      <c r="D39" s="2"/>
      <c r="E39" s="2"/>
      <c r="F39" s="499">
        <v>1.3</v>
      </c>
      <c r="G39" s="273">
        <f>E39*F39*D39</f>
        <v>0</v>
      </c>
      <c r="H39" s="273">
        <f>G39/15</f>
        <v>0</v>
      </c>
    </row>
    <row r="40" spans="1:8" s="298" customFormat="1">
      <c r="A40" s="11"/>
      <c r="B40" s="437" t="s">
        <v>640</v>
      </c>
      <c r="C40" s="14" t="s">
        <v>637</v>
      </c>
      <c r="D40" s="2"/>
      <c r="E40" s="2"/>
      <c r="F40" s="499">
        <v>1.3</v>
      </c>
      <c r="G40" s="273">
        <f>E40*F40*D40</f>
        <v>0</v>
      </c>
      <c r="H40" s="273">
        <f>G40/15</f>
        <v>0</v>
      </c>
    </row>
    <row r="41" spans="1:8" s="298" customFormat="1">
      <c r="A41" s="11"/>
      <c r="B41" s="437" t="s">
        <v>641</v>
      </c>
      <c r="C41" s="14" t="s">
        <v>637</v>
      </c>
      <c r="D41" s="2"/>
      <c r="E41" s="2"/>
      <c r="F41" s="499">
        <v>1.3</v>
      </c>
      <c r="G41" s="273">
        <f>E41*F41*D41</f>
        <v>0</v>
      </c>
      <c r="H41" s="273">
        <f>G41/15</f>
        <v>0</v>
      </c>
    </row>
    <row r="42" spans="1:8" s="298" customFormat="1">
      <c r="A42" s="305"/>
      <c r="B42" s="129"/>
      <c r="C42" s="300" t="s">
        <v>462</v>
      </c>
      <c r="D42" s="534"/>
      <c r="E42" s="124"/>
      <c r="F42" s="302"/>
      <c r="G42" s="303">
        <f>SUM(G37:G41)</f>
        <v>0</v>
      </c>
      <c r="H42" s="303">
        <f>SUM(H37:H41)</f>
        <v>0</v>
      </c>
    </row>
    <row r="43" spans="1:8" s="298" customFormat="1" ht="21" customHeight="1">
      <c r="A43" s="131"/>
      <c r="B43" s="132"/>
      <c r="C43" s="132"/>
      <c r="D43" s="132"/>
      <c r="E43" s="132"/>
      <c r="F43" s="133" t="s">
        <v>715</v>
      </c>
      <c r="G43" s="454">
        <f>G42+G35</f>
        <v>0</v>
      </c>
      <c r="H43" s="454">
        <f>H42+H35</f>
        <v>0</v>
      </c>
    </row>
    <row r="44" spans="1:8" s="546" customFormat="1" ht="15">
      <c r="A44" s="552"/>
      <c r="B44" s="552"/>
      <c r="C44" s="553"/>
      <c r="D44" s="553"/>
      <c r="E44" s="552"/>
      <c r="F44" s="553"/>
      <c r="G44" s="554"/>
      <c r="H44" s="554"/>
    </row>
    <row r="45" spans="1:8" s="546" customFormat="1" ht="15">
      <c r="A45" s="555"/>
      <c r="B45" s="555"/>
      <c r="C45" s="556"/>
      <c r="D45" s="556"/>
      <c r="E45" s="555"/>
      <c r="F45" s="556"/>
      <c r="G45" s="557"/>
      <c r="H45" s="557"/>
    </row>
    <row r="46" spans="1:8" s="76" customFormat="1" ht="21" customHeight="1">
      <c r="A46" s="79">
        <v>4</v>
      </c>
      <c r="B46" s="80" t="s">
        <v>289</v>
      </c>
      <c r="C46" s="81"/>
      <c r="D46" s="82"/>
      <c r="E46" s="83"/>
      <c r="F46" s="83"/>
      <c r="G46" s="84"/>
      <c r="H46" s="85"/>
    </row>
    <row r="47" spans="1:8" s="436" customFormat="1">
      <c r="A47" s="264"/>
      <c r="B47" s="292"/>
      <c r="C47" s="265"/>
      <c r="D47" s="267" t="s">
        <v>643</v>
      </c>
      <c r="E47" s="268" t="s">
        <v>604</v>
      </c>
      <c r="F47" s="116" t="s">
        <v>287</v>
      </c>
      <c r="G47" s="105" t="s">
        <v>584</v>
      </c>
      <c r="H47" s="105" t="s">
        <v>584</v>
      </c>
    </row>
    <row r="48" spans="1:8" s="452" customFormat="1">
      <c r="A48" s="269"/>
      <c r="B48" s="294"/>
      <c r="C48" s="270"/>
      <c r="D48" s="271"/>
      <c r="E48" s="271" t="s">
        <v>352</v>
      </c>
      <c r="F48" s="295"/>
      <c r="G48" s="111" t="s">
        <v>583</v>
      </c>
      <c r="H48" s="111" t="s">
        <v>585</v>
      </c>
    </row>
    <row r="49" spans="1:8" s="298" customFormat="1">
      <c r="A49" s="11"/>
      <c r="B49" s="437" t="s">
        <v>636</v>
      </c>
      <c r="C49" s="14" t="s">
        <v>637</v>
      </c>
      <c r="D49" s="2"/>
      <c r="E49" s="2"/>
      <c r="F49" s="272">
        <v>1</v>
      </c>
      <c r="G49" s="273">
        <f>E49*F49*D49</f>
        <v>0</v>
      </c>
      <c r="H49" s="273">
        <f>G49/15</f>
        <v>0</v>
      </c>
    </row>
    <row r="50" spans="1:8" s="298" customFormat="1">
      <c r="A50" s="11"/>
      <c r="B50" s="437" t="s">
        <v>638</v>
      </c>
      <c r="C50" s="14" t="s">
        <v>637</v>
      </c>
      <c r="D50" s="2"/>
      <c r="E50" s="2"/>
      <c r="F50" s="272">
        <v>1</v>
      </c>
      <c r="G50" s="273">
        <f>E50*F50*D50</f>
        <v>0</v>
      </c>
      <c r="H50" s="273">
        <f>G50/15</f>
        <v>0</v>
      </c>
    </row>
    <row r="51" spans="1:8" s="298" customFormat="1">
      <c r="A51" s="11"/>
      <c r="B51" s="437" t="s">
        <v>639</v>
      </c>
      <c r="C51" s="14" t="s">
        <v>637</v>
      </c>
      <c r="D51" s="2"/>
      <c r="E51" s="2"/>
      <c r="F51" s="272">
        <v>1</v>
      </c>
      <c r="G51" s="273">
        <f>E51*F51*D51</f>
        <v>0</v>
      </c>
      <c r="H51" s="273">
        <f>G51/15</f>
        <v>0</v>
      </c>
    </row>
    <row r="52" spans="1:8" s="298" customFormat="1">
      <c r="A52" s="11"/>
      <c r="B52" s="437" t="s">
        <v>640</v>
      </c>
      <c r="C52" s="14" t="s">
        <v>637</v>
      </c>
      <c r="D52" s="2"/>
      <c r="E52" s="2"/>
      <c r="F52" s="272">
        <v>1</v>
      </c>
      <c r="G52" s="273">
        <f>E52*F52*D52</f>
        <v>0</v>
      </c>
      <c r="H52" s="273">
        <f>G52/15</f>
        <v>0</v>
      </c>
    </row>
    <row r="53" spans="1:8" s="298" customFormat="1">
      <c r="A53" s="11"/>
      <c r="B53" s="437" t="s">
        <v>641</v>
      </c>
      <c r="C53" s="14" t="s">
        <v>637</v>
      </c>
      <c r="D53" s="2"/>
      <c r="E53" s="2"/>
      <c r="F53" s="272">
        <v>1</v>
      </c>
      <c r="G53" s="273">
        <f>E53*F53*D53</f>
        <v>0</v>
      </c>
      <c r="H53" s="273">
        <f>G53/15</f>
        <v>0</v>
      </c>
    </row>
    <row r="54" spans="1:8" s="298" customFormat="1">
      <c r="A54" s="305"/>
      <c r="B54" s="129"/>
      <c r="C54" s="300" t="s">
        <v>462</v>
      </c>
      <c r="D54" s="534"/>
      <c r="E54" s="124"/>
      <c r="F54" s="302"/>
      <c r="G54" s="303">
        <f>SUM(G49:G53)</f>
        <v>0</v>
      </c>
      <c r="H54" s="303">
        <f>SUM(H49:H53)</f>
        <v>0</v>
      </c>
    </row>
    <row r="55" spans="1:8" s="546" customFormat="1" ht="15">
      <c r="A55" s="552"/>
      <c r="B55" s="552"/>
      <c r="C55" s="553"/>
      <c r="D55" s="553"/>
      <c r="E55" s="552"/>
      <c r="F55" s="553"/>
      <c r="G55" s="554"/>
      <c r="H55" s="554"/>
    </row>
    <row r="56" spans="1:8" s="546" customFormat="1" ht="15">
      <c r="A56" s="555"/>
      <c r="B56" s="555"/>
      <c r="C56" s="556"/>
      <c r="D56" s="556"/>
      <c r="E56" s="555"/>
      <c r="F56" s="556"/>
      <c r="G56" s="557"/>
      <c r="H56" s="557"/>
    </row>
    <row r="57" spans="1:8" s="76" customFormat="1" ht="34.5" customHeight="1">
      <c r="A57" s="559">
        <v>5</v>
      </c>
      <c r="B57" s="1389" t="s">
        <v>907</v>
      </c>
      <c r="C57" s="1389"/>
      <c r="D57" s="1389"/>
      <c r="E57" s="1389"/>
      <c r="F57" s="1389"/>
      <c r="G57" s="1389"/>
      <c r="H57" s="1390"/>
    </row>
    <row r="58" spans="1:8" s="436" customFormat="1">
      <c r="A58" s="264"/>
      <c r="B58" s="292"/>
      <c r="C58" s="265"/>
      <c r="D58" s="103"/>
      <c r="E58" s="268" t="s">
        <v>604</v>
      </c>
      <c r="F58" s="116" t="s">
        <v>287</v>
      </c>
      <c r="G58" s="105" t="s">
        <v>584</v>
      </c>
      <c r="H58" s="105" t="s">
        <v>584</v>
      </c>
    </row>
    <row r="59" spans="1:8" s="452" customFormat="1">
      <c r="A59" s="269"/>
      <c r="B59" s="294"/>
      <c r="C59" s="270"/>
      <c r="D59" s="109"/>
      <c r="E59" s="271" t="s">
        <v>352</v>
      </c>
      <c r="F59" s="295"/>
      <c r="G59" s="111" t="s">
        <v>583</v>
      </c>
      <c r="H59" s="111" t="s">
        <v>585</v>
      </c>
    </row>
    <row r="60" spans="1:8" s="298" customFormat="1">
      <c r="A60" s="11"/>
      <c r="B60" s="437" t="s">
        <v>644</v>
      </c>
      <c r="C60" s="14"/>
      <c r="D60" s="578"/>
      <c r="E60" s="2"/>
      <c r="F60" s="272">
        <v>1</v>
      </c>
      <c r="G60" s="273">
        <f>E60*F60</f>
        <v>0</v>
      </c>
      <c r="H60" s="273">
        <f>G60/15</f>
        <v>0</v>
      </c>
    </row>
    <row r="61" spans="1:8" s="298" customFormat="1">
      <c r="A61" s="11"/>
      <c r="B61" s="437" t="s">
        <v>645</v>
      </c>
      <c r="C61" s="14" t="s">
        <v>649</v>
      </c>
      <c r="D61" s="578"/>
      <c r="E61" s="2"/>
      <c r="F61" s="272">
        <v>1</v>
      </c>
      <c r="G61" s="273">
        <f>E61*F61</f>
        <v>0</v>
      </c>
      <c r="H61" s="273">
        <f>G61/15</f>
        <v>0</v>
      </c>
    </row>
    <row r="62" spans="1:8" s="298" customFormat="1">
      <c r="A62" s="11"/>
      <c r="B62" s="437" t="s">
        <v>646</v>
      </c>
      <c r="C62" s="14" t="s">
        <v>649</v>
      </c>
      <c r="D62" s="578"/>
      <c r="E62" s="2"/>
      <c r="F62" s="272">
        <v>1</v>
      </c>
      <c r="G62" s="273">
        <f>E62*F62</f>
        <v>0</v>
      </c>
      <c r="H62" s="273">
        <f>G62/15</f>
        <v>0</v>
      </c>
    </row>
    <row r="63" spans="1:8" s="298" customFormat="1">
      <c r="A63" s="11"/>
      <c r="B63" s="437" t="s">
        <v>647</v>
      </c>
      <c r="C63" s="14" t="s">
        <v>649</v>
      </c>
      <c r="D63" s="578"/>
      <c r="E63" s="2"/>
      <c r="F63" s="272">
        <v>1</v>
      </c>
      <c r="G63" s="273">
        <f>E63*F63</f>
        <v>0</v>
      </c>
      <c r="H63" s="273">
        <f>G63/15</f>
        <v>0</v>
      </c>
    </row>
    <row r="64" spans="1:8" s="298" customFormat="1">
      <c r="A64" s="11"/>
      <c r="B64" s="437" t="s">
        <v>648</v>
      </c>
      <c r="C64" s="14" t="s">
        <v>649</v>
      </c>
      <c r="D64" s="578"/>
      <c r="E64" s="2"/>
      <c r="F64" s="272">
        <v>1</v>
      </c>
      <c r="G64" s="273">
        <f>E64*F64</f>
        <v>0</v>
      </c>
      <c r="H64" s="273">
        <f>G64/15</f>
        <v>0</v>
      </c>
    </row>
    <row r="65" spans="1:8" s="298" customFormat="1">
      <c r="A65" s="305"/>
      <c r="B65" s="129"/>
      <c r="C65" s="300"/>
      <c r="D65" s="300" t="s">
        <v>462</v>
      </c>
      <c r="E65" s="302"/>
      <c r="F65" s="302"/>
      <c r="G65" s="303">
        <f>SUM(G60:G64)</f>
        <v>0</v>
      </c>
      <c r="H65" s="303">
        <f>SUM(H60:H64)</f>
        <v>0</v>
      </c>
    </row>
    <row r="66" spans="1:8" s="546" customFormat="1" ht="15">
      <c r="A66" s="552"/>
      <c r="B66" s="552"/>
      <c r="C66" s="553"/>
      <c r="D66" s="553"/>
      <c r="E66" s="552"/>
      <c r="F66" s="553"/>
      <c r="G66" s="554"/>
      <c r="H66" s="554"/>
    </row>
    <row r="67" spans="1:8" s="546" customFormat="1" ht="15">
      <c r="A67" s="627"/>
      <c r="B67" s="627"/>
      <c r="C67" s="628"/>
      <c r="D67" s="628"/>
      <c r="E67" s="627"/>
      <c r="F67" s="628"/>
      <c r="G67" s="629"/>
      <c r="H67" s="629"/>
    </row>
    <row r="68" spans="1:8" s="76" customFormat="1" ht="21" customHeight="1">
      <c r="A68" s="79">
        <v>6</v>
      </c>
      <c r="B68" s="80" t="s">
        <v>650</v>
      </c>
      <c r="C68" s="81"/>
      <c r="D68" s="82"/>
      <c r="E68" s="83"/>
      <c r="F68" s="83"/>
      <c r="G68" s="84"/>
      <c r="H68" s="85"/>
    </row>
    <row r="69" spans="1:8" s="436" customFormat="1">
      <c r="A69" s="264"/>
      <c r="B69" s="292"/>
      <c r="C69" s="265"/>
      <c r="D69" s="265"/>
      <c r="E69" s="268" t="s">
        <v>604</v>
      </c>
      <c r="F69" s="116" t="s">
        <v>287</v>
      </c>
      <c r="G69" s="105" t="s">
        <v>584</v>
      </c>
      <c r="H69" s="105" t="s">
        <v>584</v>
      </c>
    </row>
    <row r="70" spans="1:8" s="452" customFormat="1">
      <c r="A70" s="269"/>
      <c r="B70" s="294"/>
      <c r="C70" s="270"/>
      <c r="D70" s="270"/>
      <c r="E70" s="271" t="s">
        <v>352</v>
      </c>
      <c r="F70" s="295"/>
      <c r="G70" s="111" t="s">
        <v>583</v>
      </c>
      <c r="H70" s="111" t="s">
        <v>585</v>
      </c>
    </row>
    <row r="71" spans="1:8" s="298" customFormat="1">
      <c r="A71" s="11"/>
      <c r="B71" s="437" t="s">
        <v>566</v>
      </c>
      <c r="C71" s="14" t="s">
        <v>1291</v>
      </c>
      <c r="D71" s="14"/>
      <c r="E71" s="2">
        <v>15</v>
      </c>
      <c r="F71" s="272">
        <v>1</v>
      </c>
      <c r="G71" s="273">
        <f>E71*F71</f>
        <v>15</v>
      </c>
      <c r="H71" s="273">
        <f>G71/15</f>
        <v>1</v>
      </c>
    </row>
    <row r="72" spans="1:8" s="298" customFormat="1">
      <c r="A72" s="11"/>
      <c r="B72" s="437" t="s">
        <v>567</v>
      </c>
      <c r="C72" s="14" t="s">
        <v>651</v>
      </c>
      <c r="D72" s="14"/>
      <c r="E72" s="2"/>
      <c r="F72" s="272">
        <v>1</v>
      </c>
      <c r="G72" s="273">
        <f>E72*F72</f>
        <v>0</v>
      </c>
      <c r="H72" s="273">
        <f>G72/15</f>
        <v>0</v>
      </c>
    </row>
    <row r="73" spans="1:8" s="298" customFormat="1">
      <c r="A73" s="11"/>
      <c r="B73" s="437" t="s">
        <v>568</v>
      </c>
      <c r="C73" s="14" t="s">
        <v>651</v>
      </c>
      <c r="D73" s="14"/>
      <c r="E73" s="2"/>
      <c r="F73" s="272">
        <v>1</v>
      </c>
      <c r="G73" s="273">
        <f>E73*F73</f>
        <v>0</v>
      </c>
      <c r="H73" s="273">
        <f>G73/15</f>
        <v>0</v>
      </c>
    </row>
    <row r="74" spans="1:8" s="298" customFormat="1">
      <c r="A74" s="11"/>
      <c r="B74" s="437" t="s">
        <v>569</v>
      </c>
      <c r="C74" s="14" t="s">
        <v>651</v>
      </c>
      <c r="D74" s="14"/>
      <c r="E74" s="2"/>
      <c r="F74" s="272">
        <v>1</v>
      </c>
      <c r="G74" s="273">
        <f>E74*F74</f>
        <v>0</v>
      </c>
      <c r="H74" s="273">
        <f>G74/15</f>
        <v>0</v>
      </c>
    </row>
    <row r="75" spans="1:8" s="298" customFormat="1">
      <c r="A75" s="11"/>
      <c r="B75" s="437" t="s">
        <v>570</v>
      </c>
      <c r="C75" s="14" t="s">
        <v>651</v>
      </c>
      <c r="D75" s="14"/>
      <c r="E75" s="2"/>
      <c r="F75" s="272">
        <v>1</v>
      </c>
      <c r="G75" s="273">
        <f>E75*F75</f>
        <v>0</v>
      </c>
      <c r="H75" s="273">
        <f>G75/15</f>
        <v>0</v>
      </c>
    </row>
    <row r="76" spans="1:8" s="298" customFormat="1">
      <c r="A76" s="305"/>
      <c r="B76" s="129"/>
      <c r="C76" s="300"/>
      <c r="D76" s="300" t="s">
        <v>462</v>
      </c>
      <c r="E76" s="534"/>
      <c r="F76" s="302"/>
      <c r="G76" s="303">
        <f>SUM(G71:G75)</f>
        <v>15</v>
      </c>
      <c r="H76" s="303">
        <f>SUM(H71:H75)</f>
        <v>1</v>
      </c>
    </row>
    <row r="77" spans="1:8" s="546" customFormat="1" ht="15">
      <c r="A77" s="552"/>
      <c r="B77" s="552"/>
      <c r="C77" s="553"/>
      <c r="D77" s="553"/>
      <c r="E77" s="552"/>
      <c r="F77" s="553"/>
      <c r="G77" s="554"/>
      <c r="H77" s="554"/>
    </row>
    <row r="78" spans="1:8" s="546" customFormat="1" ht="15">
      <c r="A78" s="555"/>
      <c r="B78" s="555"/>
      <c r="C78" s="556"/>
      <c r="D78" s="556"/>
      <c r="E78" s="555"/>
      <c r="F78" s="556"/>
      <c r="G78" s="557"/>
      <c r="H78" s="557"/>
    </row>
    <row r="79" spans="1:8" s="76" customFormat="1" ht="21" customHeight="1">
      <c r="A79" s="79">
        <v>7</v>
      </c>
      <c r="B79" s="80" t="s">
        <v>652</v>
      </c>
      <c r="C79" s="81"/>
      <c r="D79" s="82"/>
      <c r="E79" s="83"/>
      <c r="F79" s="83"/>
      <c r="G79" s="84"/>
      <c r="H79" s="85"/>
    </row>
    <row r="80" spans="1:8" s="436" customFormat="1">
      <c r="A80" s="264"/>
      <c r="B80" s="292"/>
      <c r="C80" s="265"/>
      <c r="D80" s="560"/>
      <c r="E80" s="561" t="s">
        <v>353</v>
      </c>
      <c r="F80" s="116" t="s">
        <v>287</v>
      </c>
      <c r="G80" s="105" t="s">
        <v>584</v>
      </c>
      <c r="H80" s="105" t="s">
        <v>584</v>
      </c>
    </row>
    <row r="81" spans="1:9" s="452" customFormat="1">
      <c r="A81" s="457"/>
      <c r="B81" s="562"/>
      <c r="C81" s="458"/>
      <c r="D81" s="563"/>
      <c r="E81" s="473" t="s">
        <v>306</v>
      </c>
      <c r="F81" s="564"/>
      <c r="G81" s="237" t="s">
        <v>583</v>
      </c>
      <c r="H81" s="237" t="s">
        <v>585</v>
      </c>
    </row>
    <row r="82" spans="1:9" s="452" customFormat="1">
      <c r="A82" s="269"/>
      <c r="B82" s="294"/>
      <c r="C82" s="270"/>
      <c r="D82" s="565"/>
      <c r="E82" s="470" t="s">
        <v>307</v>
      </c>
      <c r="F82" s="295"/>
      <c r="G82" s="111"/>
      <c r="H82" s="111"/>
    </row>
    <row r="83" spans="1:9" s="298" customFormat="1">
      <c r="A83" s="11"/>
      <c r="B83" s="437" t="s">
        <v>566</v>
      </c>
      <c r="C83" s="14" t="s">
        <v>651</v>
      </c>
      <c r="D83" s="17"/>
      <c r="E83" s="2"/>
      <c r="F83" s="272">
        <v>5</v>
      </c>
      <c r="G83" s="273">
        <f>IF(E83&gt;1,1*F83,E83*F83)</f>
        <v>0</v>
      </c>
      <c r="H83" s="273">
        <f>G83/15</f>
        <v>0</v>
      </c>
    </row>
    <row r="84" spans="1:9" s="298" customFormat="1">
      <c r="A84" s="11"/>
      <c r="B84" s="437" t="s">
        <v>567</v>
      </c>
      <c r="C84" s="14" t="s">
        <v>651</v>
      </c>
      <c r="D84" s="17"/>
      <c r="E84" s="2"/>
      <c r="F84" s="272">
        <v>5</v>
      </c>
      <c r="G84" s="273">
        <f>IF(E84&gt;1,1*F84,E84*F84)</f>
        <v>0</v>
      </c>
      <c r="H84" s="273">
        <f>G84/15</f>
        <v>0</v>
      </c>
    </row>
    <row r="85" spans="1:9" s="298" customFormat="1">
      <c r="A85" s="11"/>
      <c r="B85" s="437" t="s">
        <v>568</v>
      </c>
      <c r="C85" s="14" t="s">
        <v>651</v>
      </c>
      <c r="D85" s="17"/>
      <c r="E85" s="2"/>
      <c r="F85" s="272">
        <v>5</v>
      </c>
      <c r="G85" s="273">
        <f>IF(E85&gt;1,1*F85,E85*F85)</f>
        <v>0</v>
      </c>
      <c r="H85" s="273">
        <f>G85/15</f>
        <v>0</v>
      </c>
    </row>
    <row r="86" spans="1:9" s="298" customFormat="1">
      <c r="A86" s="11"/>
      <c r="B86" s="437" t="s">
        <v>569</v>
      </c>
      <c r="C86" s="14" t="s">
        <v>651</v>
      </c>
      <c r="D86" s="17"/>
      <c r="E86" s="2"/>
      <c r="F86" s="272">
        <v>5</v>
      </c>
      <c r="G86" s="273">
        <f>IF(E86&gt;1,1*F86,E86*F86)</f>
        <v>0</v>
      </c>
      <c r="H86" s="273">
        <f>G86/15</f>
        <v>0</v>
      </c>
    </row>
    <row r="87" spans="1:9" s="298" customFormat="1">
      <c r="A87" s="11"/>
      <c r="B87" s="437" t="s">
        <v>570</v>
      </c>
      <c r="C87" s="14" t="s">
        <v>651</v>
      </c>
      <c r="D87" s="17"/>
      <c r="E87" s="2"/>
      <c r="F87" s="272">
        <v>5</v>
      </c>
      <c r="G87" s="273">
        <f>IF(E87&gt;1,1*F87,E87*F87)</f>
        <v>0</v>
      </c>
      <c r="H87" s="273">
        <f>G87/15</f>
        <v>0</v>
      </c>
    </row>
    <row r="88" spans="1:9" s="298" customFormat="1">
      <c r="A88" s="305"/>
      <c r="B88" s="129"/>
      <c r="C88" s="300" t="s">
        <v>462</v>
      </c>
      <c r="D88" s="566"/>
      <c r="E88" s="534"/>
      <c r="F88" s="302"/>
      <c r="G88" s="303">
        <f>SUM(G83:G87)</f>
        <v>0</v>
      </c>
      <c r="H88" s="303">
        <f>SUM(H83:H87)</f>
        <v>0</v>
      </c>
    </row>
    <row r="89" spans="1:9" s="546" customFormat="1" ht="15">
      <c r="A89" s="552"/>
      <c r="B89" s="552"/>
      <c r="C89" s="553"/>
      <c r="D89" s="553"/>
      <c r="E89" s="552"/>
      <c r="F89" s="553"/>
      <c r="G89" s="554"/>
      <c r="H89" s="554"/>
    </row>
    <row r="90" spans="1:9" s="546" customFormat="1" ht="15">
      <c r="A90" s="555"/>
      <c r="B90" s="555"/>
      <c r="C90" s="556"/>
      <c r="D90" s="556"/>
      <c r="E90" s="555"/>
      <c r="F90" s="556"/>
      <c r="G90" s="557"/>
      <c r="H90" s="557"/>
    </row>
    <row r="91" spans="1:9" s="76" customFormat="1" ht="21" customHeight="1">
      <c r="A91" s="79">
        <v>8</v>
      </c>
      <c r="B91" s="80" t="s">
        <v>653</v>
      </c>
      <c r="C91" s="81"/>
      <c r="D91" s="82"/>
      <c r="E91" s="83"/>
      <c r="F91" s="83"/>
      <c r="G91" s="84"/>
      <c r="H91" s="85"/>
    </row>
    <row r="92" spans="1:9" s="76" customFormat="1" ht="21" customHeight="1">
      <c r="A92" s="86">
        <v>8.1</v>
      </c>
      <c r="B92" s="87" t="s">
        <v>892</v>
      </c>
      <c r="C92" s="88"/>
      <c r="D92" s="89"/>
      <c r="E92" s="90"/>
      <c r="F92" s="90"/>
      <c r="G92" s="91"/>
      <c r="H92" s="92"/>
      <c r="I92" s="78"/>
    </row>
    <row r="93" spans="1:9" s="436" customFormat="1">
      <c r="A93" s="264"/>
      <c r="B93" s="292"/>
      <c r="C93" s="265"/>
      <c r="D93" s="560"/>
      <c r="E93" s="886" t="s">
        <v>664</v>
      </c>
      <c r="F93" s="116" t="s">
        <v>287</v>
      </c>
      <c r="G93" s="105" t="s">
        <v>584</v>
      </c>
      <c r="H93" s="105" t="s">
        <v>584</v>
      </c>
    </row>
    <row r="94" spans="1:9" s="452" customFormat="1">
      <c r="A94" s="269"/>
      <c r="B94" s="294"/>
      <c r="C94" s="270"/>
      <c r="D94" s="565"/>
      <c r="E94" s="1170"/>
      <c r="F94" s="295"/>
      <c r="G94" s="111" t="s">
        <v>583</v>
      </c>
      <c r="H94" s="111" t="s">
        <v>585</v>
      </c>
    </row>
    <row r="95" spans="1:9" s="298" customFormat="1">
      <c r="A95" s="296"/>
      <c r="B95" s="112" t="s">
        <v>620</v>
      </c>
      <c r="E95" s="951"/>
      <c r="F95" s="11"/>
      <c r="G95" s="11"/>
      <c r="H95" s="11"/>
    </row>
    <row r="96" spans="1:9" s="298" customFormat="1">
      <c r="A96" s="11"/>
      <c r="B96" s="437" t="s">
        <v>566</v>
      </c>
      <c r="C96" s="18" t="s">
        <v>774</v>
      </c>
      <c r="D96" s="14"/>
      <c r="E96" s="71"/>
      <c r="F96" s="1169">
        <v>4</v>
      </c>
      <c r="G96" s="1157">
        <f>IF(E96&gt;=1,E96*F96,0)</f>
        <v>0</v>
      </c>
      <c r="H96" s="1157">
        <f>G96/15</f>
        <v>0</v>
      </c>
    </row>
    <row r="97" spans="1:9" s="298" customFormat="1">
      <c r="A97" s="11"/>
      <c r="B97" s="437" t="s">
        <v>567</v>
      </c>
      <c r="C97" s="18" t="s">
        <v>774</v>
      </c>
      <c r="D97" s="14"/>
      <c r="E97" s="71"/>
      <c r="F97" s="1169">
        <v>4</v>
      </c>
      <c r="G97" s="1157">
        <f>IF(E97&gt;=1,E97*F97,0)</f>
        <v>0</v>
      </c>
      <c r="H97" s="1157">
        <f>G97/15</f>
        <v>0</v>
      </c>
    </row>
    <row r="98" spans="1:9" s="298" customFormat="1">
      <c r="A98" s="11"/>
      <c r="B98" s="437" t="s">
        <v>568</v>
      </c>
      <c r="C98" s="18" t="s">
        <v>774</v>
      </c>
      <c r="D98" s="14"/>
      <c r="E98" s="71"/>
      <c r="F98" s="1169">
        <v>4</v>
      </c>
      <c r="G98" s="1157">
        <f>IF(E98&gt;=1,E98*F98,0)</f>
        <v>0</v>
      </c>
      <c r="H98" s="1157">
        <f>G98/15</f>
        <v>0</v>
      </c>
    </row>
    <row r="99" spans="1:9" s="298" customFormat="1">
      <c r="A99" s="11"/>
      <c r="B99" s="437" t="s">
        <v>569</v>
      </c>
      <c r="C99" s="18" t="s">
        <v>774</v>
      </c>
      <c r="D99" s="14"/>
      <c r="E99" s="71"/>
      <c r="F99" s="1169">
        <v>4</v>
      </c>
      <c r="G99" s="1157">
        <f>IF(E99&gt;=1,E99*F99,0)</f>
        <v>0</v>
      </c>
      <c r="H99" s="1157">
        <f>G99/15</f>
        <v>0</v>
      </c>
    </row>
    <row r="100" spans="1:9" s="298" customFormat="1">
      <c r="A100" s="11"/>
      <c r="B100" s="437" t="s">
        <v>570</v>
      </c>
      <c r="C100" s="18" t="s">
        <v>774</v>
      </c>
      <c r="D100" s="14"/>
      <c r="E100" s="71"/>
      <c r="F100" s="1169">
        <v>4</v>
      </c>
      <c r="G100" s="1157">
        <f>IF(E100&gt;=1,E100*F100,0)</f>
        <v>0</v>
      </c>
      <c r="H100" s="1157">
        <f>G100/15</f>
        <v>0</v>
      </c>
    </row>
    <row r="101" spans="1:9" s="298" customFormat="1">
      <c r="A101" s="305"/>
      <c r="B101" s="129"/>
      <c r="C101" s="300"/>
      <c r="D101" s="300" t="s">
        <v>462</v>
      </c>
      <c r="E101" s="1171"/>
      <c r="F101" s="1172"/>
      <c r="G101" s="1173">
        <f>SUM(G96:G100)</f>
        <v>0</v>
      </c>
      <c r="H101" s="1173">
        <f>SUM(H96:H100)</f>
        <v>0</v>
      </c>
    </row>
    <row r="102" spans="1:9" s="298" customFormat="1">
      <c r="A102" s="296"/>
      <c r="B102" s="112" t="s">
        <v>621</v>
      </c>
      <c r="E102" s="951"/>
      <c r="F102" s="895"/>
      <c r="G102" s="895"/>
      <c r="H102" s="895"/>
    </row>
    <row r="103" spans="1:9" s="298" customFormat="1">
      <c r="A103" s="11"/>
      <c r="B103" s="437" t="s">
        <v>566</v>
      </c>
      <c r="C103" s="18" t="s">
        <v>774</v>
      </c>
      <c r="D103" s="14"/>
      <c r="E103" s="71"/>
      <c r="F103" s="1169">
        <v>5</v>
      </c>
      <c r="G103" s="1157">
        <f>IF(E103&gt;=1,E103*F103,0)</f>
        <v>0</v>
      </c>
      <c r="H103" s="1157">
        <f>G103/15</f>
        <v>0</v>
      </c>
    </row>
    <row r="104" spans="1:9" s="298" customFormat="1">
      <c r="A104" s="11"/>
      <c r="B104" s="437" t="s">
        <v>567</v>
      </c>
      <c r="C104" s="18" t="s">
        <v>774</v>
      </c>
      <c r="D104" s="14"/>
      <c r="E104" s="71"/>
      <c r="F104" s="1169">
        <v>5</v>
      </c>
      <c r="G104" s="1157">
        <f>IF(E104&gt;=1,E104*F104,0)</f>
        <v>0</v>
      </c>
      <c r="H104" s="1157">
        <f>G104/15</f>
        <v>0</v>
      </c>
    </row>
    <row r="105" spans="1:9" s="298" customFormat="1">
      <c r="A105" s="11"/>
      <c r="B105" s="437" t="s">
        <v>568</v>
      </c>
      <c r="C105" s="18" t="s">
        <v>774</v>
      </c>
      <c r="D105" s="14"/>
      <c r="E105" s="71"/>
      <c r="F105" s="1169">
        <v>5</v>
      </c>
      <c r="G105" s="1157">
        <f>IF(E105&gt;=1,E105*F105,0)</f>
        <v>0</v>
      </c>
      <c r="H105" s="1157">
        <f>G105/15</f>
        <v>0</v>
      </c>
    </row>
    <row r="106" spans="1:9" s="298" customFormat="1">
      <c r="A106" s="11"/>
      <c r="B106" s="437" t="s">
        <v>569</v>
      </c>
      <c r="C106" s="18" t="s">
        <v>774</v>
      </c>
      <c r="D106" s="14"/>
      <c r="E106" s="71"/>
      <c r="F106" s="1169">
        <v>5</v>
      </c>
      <c r="G106" s="1157">
        <f>IF(E106&gt;=1,E106*F106,0)</f>
        <v>0</v>
      </c>
      <c r="H106" s="1157">
        <f>G106/15</f>
        <v>0</v>
      </c>
    </row>
    <row r="107" spans="1:9" s="298" customFormat="1">
      <c r="A107" s="11"/>
      <c r="B107" s="437" t="s">
        <v>570</v>
      </c>
      <c r="C107" s="18" t="s">
        <v>774</v>
      </c>
      <c r="D107" s="14"/>
      <c r="E107" s="71"/>
      <c r="F107" s="1169">
        <v>5</v>
      </c>
      <c r="G107" s="1157">
        <f>IF(E107&gt;=1,E107*F107,0)</f>
        <v>0</v>
      </c>
      <c r="H107" s="1157">
        <f>G107/15</f>
        <v>0</v>
      </c>
    </row>
    <row r="108" spans="1:9" s="298" customFormat="1">
      <c r="A108" s="305"/>
      <c r="B108" s="129"/>
      <c r="C108" s="300"/>
      <c r="D108" s="300" t="s">
        <v>462</v>
      </c>
      <c r="E108" s="534"/>
      <c r="F108" s="302"/>
      <c r="G108" s="303">
        <f>SUM(G103:G107)</f>
        <v>0</v>
      </c>
      <c r="H108" s="303">
        <f>SUM(H103:H107)</f>
        <v>0</v>
      </c>
    </row>
    <row r="109" spans="1:9" s="76" customFormat="1" ht="21" customHeight="1">
      <c r="A109" s="86">
        <v>8.1999999999999993</v>
      </c>
      <c r="B109" s="87" t="s">
        <v>741</v>
      </c>
      <c r="C109" s="88"/>
      <c r="D109" s="89"/>
      <c r="E109" s="90"/>
      <c r="F109" s="90"/>
      <c r="G109" s="91"/>
      <c r="H109" s="92"/>
      <c r="I109" s="78"/>
    </row>
    <row r="110" spans="1:9" s="436" customFormat="1">
      <c r="A110" s="264"/>
      <c r="B110" s="292"/>
      <c r="C110" s="265"/>
      <c r="D110" s="560"/>
      <c r="E110" s="495" t="s">
        <v>664</v>
      </c>
      <c r="F110" s="116" t="s">
        <v>287</v>
      </c>
      <c r="G110" s="105" t="s">
        <v>584</v>
      </c>
      <c r="H110" s="105" t="s">
        <v>584</v>
      </c>
    </row>
    <row r="111" spans="1:9" s="452" customFormat="1">
      <c r="A111" s="457"/>
      <c r="B111" s="562"/>
      <c r="C111" s="458"/>
      <c r="D111" s="563"/>
      <c r="E111" s="473" t="s">
        <v>306</v>
      </c>
      <c r="F111" s="564"/>
      <c r="G111" s="237" t="s">
        <v>583</v>
      </c>
      <c r="H111" s="237" t="s">
        <v>585</v>
      </c>
    </row>
    <row r="112" spans="1:9" s="452" customFormat="1">
      <c r="A112" s="269"/>
      <c r="B112" s="294"/>
      <c r="C112" s="270"/>
      <c r="D112" s="565"/>
      <c r="E112" s="470" t="s">
        <v>307</v>
      </c>
      <c r="F112" s="295"/>
      <c r="G112" s="111"/>
      <c r="H112" s="111"/>
    </row>
    <row r="113" spans="1:8" s="298" customFormat="1">
      <c r="A113" s="296"/>
      <c r="B113" s="112" t="s">
        <v>1204</v>
      </c>
      <c r="E113" s="117"/>
      <c r="F113" s="11"/>
      <c r="G113" s="11"/>
      <c r="H113" s="11"/>
    </row>
    <row r="114" spans="1:8" s="298" customFormat="1">
      <c r="A114" s="11"/>
      <c r="B114" s="437" t="s">
        <v>566</v>
      </c>
      <c r="C114" s="14" t="s">
        <v>549</v>
      </c>
      <c r="D114" s="14"/>
      <c r="E114" s="2"/>
      <c r="F114" s="272">
        <v>4</v>
      </c>
      <c r="G114" s="273">
        <f>IF(E114&gt;1,1*F114,E114*F114)</f>
        <v>0</v>
      </c>
      <c r="H114" s="273">
        <f>G114/15</f>
        <v>0</v>
      </c>
    </row>
    <row r="115" spans="1:8" s="298" customFormat="1">
      <c r="A115" s="11"/>
      <c r="B115" s="437" t="s">
        <v>567</v>
      </c>
      <c r="C115" s="14" t="s">
        <v>549</v>
      </c>
      <c r="D115" s="14"/>
      <c r="E115" s="2"/>
      <c r="F115" s="272">
        <v>4</v>
      </c>
      <c r="G115" s="273">
        <f>IF(E115&gt;1,1*F115,E115*F115)</f>
        <v>0</v>
      </c>
      <c r="H115" s="273">
        <f>G115/15</f>
        <v>0</v>
      </c>
    </row>
    <row r="116" spans="1:8" s="298" customFormat="1">
      <c r="A116" s="11"/>
      <c r="B116" s="437" t="s">
        <v>568</v>
      </c>
      <c r="C116" s="14" t="s">
        <v>549</v>
      </c>
      <c r="D116" s="14"/>
      <c r="E116" s="2"/>
      <c r="F116" s="272">
        <v>4</v>
      </c>
      <c r="G116" s="273">
        <f>IF(E116&gt;1,1*F116,E116*F116)</f>
        <v>0</v>
      </c>
      <c r="H116" s="273">
        <f>G116/15</f>
        <v>0</v>
      </c>
    </row>
    <row r="117" spans="1:8" s="298" customFormat="1">
      <c r="A117" s="11"/>
      <c r="B117" s="437" t="s">
        <v>569</v>
      </c>
      <c r="C117" s="14" t="s">
        <v>549</v>
      </c>
      <c r="D117" s="14"/>
      <c r="E117" s="2"/>
      <c r="F117" s="272">
        <v>4</v>
      </c>
      <c r="G117" s="273">
        <f>IF(E117&gt;1,1*F117,E117*F117)</f>
        <v>0</v>
      </c>
      <c r="H117" s="273">
        <f>G117/15</f>
        <v>0</v>
      </c>
    </row>
    <row r="118" spans="1:8" s="298" customFormat="1">
      <c r="A118" s="11"/>
      <c r="B118" s="437" t="s">
        <v>570</v>
      </c>
      <c r="C118" s="14" t="s">
        <v>549</v>
      </c>
      <c r="D118" s="14"/>
      <c r="E118" s="2"/>
      <c r="F118" s="272">
        <v>4</v>
      </c>
      <c r="G118" s="273">
        <f>IF(E118&gt;1,1*F118,E118*F118)</f>
        <v>0</v>
      </c>
      <c r="H118" s="273">
        <f>G118/15</f>
        <v>0</v>
      </c>
    </row>
    <row r="119" spans="1:8" s="298" customFormat="1">
      <c r="A119" s="305"/>
      <c r="B119" s="129"/>
      <c r="C119" s="300"/>
      <c r="D119" s="300" t="s">
        <v>462</v>
      </c>
      <c r="E119" s="534"/>
      <c r="F119" s="302"/>
      <c r="G119" s="303">
        <f>SUM(G114:G118)</f>
        <v>0</v>
      </c>
      <c r="H119" s="303">
        <f>SUM(H114:H118)</f>
        <v>0</v>
      </c>
    </row>
    <row r="120" spans="1:8" s="298" customFormat="1">
      <c r="A120" s="296"/>
      <c r="B120" s="112" t="s">
        <v>1205</v>
      </c>
      <c r="E120" s="117"/>
      <c r="F120" s="11"/>
      <c r="G120" s="11"/>
      <c r="H120" s="11"/>
    </row>
    <row r="121" spans="1:8" s="298" customFormat="1">
      <c r="A121" s="11"/>
      <c r="B121" s="437" t="s">
        <v>566</v>
      </c>
      <c r="C121" s="14" t="s">
        <v>549</v>
      </c>
      <c r="D121" s="14"/>
      <c r="E121" s="2"/>
      <c r="F121" s="272">
        <v>5</v>
      </c>
      <c r="G121" s="273">
        <f>IF(E121&gt;1,1*F121,E121*F121)</f>
        <v>0</v>
      </c>
      <c r="H121" s="273">
        <f>G121/15</f>
        <v>0</v>
      </c>
    </row>
    <row r="122" spans="1:8" s="298" customFormat="1">
      <c r="A122" s="11"/>
      <c r="B122" s="437" t="s">
        <v>567</v>
      </c>
      <c r="C122" s="14" t="s">
        <v>549</v>
      </c>
      <c r="D122" s="14"/>
      <c r="E122" s="2"/>
      <c r="F122" s="272">
        <v>5</v>
      </c>
      <c r="G122" s="273">
        <f>IF(E122&gt;1,1*F122,E122*F122)</f>
        <v>0</v>
      </c>
      <c r="H122" s="273">
        <f>G122/15</f>
        <v>0</v>
      </c>
    </row>
    <row r="123" spans="1:8" s="298" customFormat="1">
      <c r="A123" s="11"/>
      <c r="B123" s="437" t="s">
        <v>568</v>
      </c>
      <c r="C123" s="14" t="s">
        <v>549</v>
      </c>
      <c r="D123" s="14"/>
      <c r="E123" s="2"/>
      <c r="F123" s="272">
        <v>5</v>
      </c>
      <c r="G123" s="273">
        <f>IF(E123&gt;1,1*F123,E123*F123)</f>
        <v>0</v>
      </c>
      <c r="H123" s="273">
        <f>G123/15</f>
        <v>0</v>
      </c>
    </row>
    <row r="124" spans="1:8" s="298" customFormat="1">
      <c r="A124" s="11"/>
      <c r="B124" s="437" t="s">
        <v>569</v>
      </c>
      <c r="C124" s="14" t="s">
        <v>549</v>
      </c>
      <c r="D124" s="14"/>
      <c r="E124" s="2"/>
      <c r="F124" s="272">
        <v>5</v>
      </c>
      <c r="G124" s="273">
        <f>IF(E124&gt;1,1*F124,E124*F124)</f>
        <v>0</v>
      </c>
      <c r="H124" s="273">
        <f>G124/15</f>
        <v>0</v>
      </c>
    </row>
    <row r="125" spans="1:8" s="298" customFormat="1">
      <c r="A125" s="11"/>
      <c r="B125" s="437" t="s">
        <v>570</v>
      </c>
      <c r="C125" s="14" t="s">
        <v>549</v>
      </c>
      <c r="D125" s="14"/>
      <c r="E125" s="2"/>
      <c r="F125" s="272">
        <v>5</v>
      </c>
      <c r="G125" s="273">
        <f>IF(E125&gt;1,1*F125,E125*F125)</f>
        <v>0</v>
      </c>
      <c r="H125" s="273">
        <f>G125/15</f>
        <v>0</v>
      </c>
    </row>
    <row r="126" spans="1:8" s="298" customFormat="1">
      <c r="A126" s="305"/>
      <c r="B126" s="129"/>
      <c r="C126" s="300"/>
      <c r="D126" s="300" t="s">
        <v>462</v>
      </c>
      <c r="E126" s="534"/>
      <c r="F126" s="302"/>
      <c r="G126" s="303">
        <f>SUM(G121:G125)</f>
        <v>0</v>
      </c>
      <c r="H126" s="303">
        <f>SUM(H121:H125)</f>
        <v>0</v>
      </c>
    </row>
    <row r="127" spans="1:8" s="298" customFormat="1" ht="21" customHeight="1">
      <c r="A127" s="131"/>
      <c r="B127" s="132"/>
      <c r="C127" s="132"/>
      <c r="D127" s="132"/>
      <c r="E127" s="132"/>
      <c r="F127" s="133" t="s">
        <v>716</v>
      </c>
      <c r="G127" s="454">
        <f>G119+G126+G101+G108</f>
        <v>0</v>
      </c>
      <c r="H127" s="454">
        <f>H119+H126+H101+H108</f>
        <v>0</v>
      </c>
    </row>
    <row r="128" spans="1:8" s="546" customFormat="1" ht="15">
      <c r="A128" s="552"/>
      <c r="B128" s="552"/>
      <c r="C128" s="553"/>
      <c r="D128" s="553"/>
      <c r="E128" s="552"/>
      <c r="F128" s="553"/>
      <c r="G128" s="554"/>
      <c r="H128" s="554"/>
    </row>
    <row r="129" spans="1:8" s="546" customFormat="1" ht="15">
      <c r="A129" s="555"/>
      <c r="B129" s="555"/>
      <c r="C129" s="556"/>
      <c r="D129" s="556"/>
      <c r="E129" s="555"/>
      <c r="F129" s="556"/>
      <c r="G129" s="557"/>
      <c r="H129" s="557"/>
    </row>
    <row r="130" spans="1:8" s="76" customFormat="1" ht="21" customHeight="1">
      <c r="A130" s="79">
        <v>9</v>
      </c>
      <c r="B130" s="80" t="s">
        <v>654</v>
      </c>
      <c r="C130" s="81"/>
      <c r="D130" s="82"/>
      <c r="E130" s="83"/>
      <c r="F130" s="83"/>
      <c r="G130" s="84"/>
      <c r="H130" s="85"/>
    </row>
    <row r="131" spans="1:8" s="436" customFormat="1">
      <c r="A131" s="264"/>
      <c r="B131" s="292"/>
      <c r="C131" s="265"/>
      <c r="D131" s="560"/>
      <c r="E131" s="495" t="s">
        <v>666</v>
      </c>
      <c r="F131" s="116" t="s">
        <v>287</v>
      </c>
      <c r="G131" s="105" t="s">
        <v>584</v>
      </c>
      <c r="H131" s="105" t="s">
        <v>584</v>
      </c>
    </row>
    <row r="132" spans="1:8" s="452" customFormat="1">
      <c r="A132" s="457"/>
      <c r="B132" s="562"/>
      <c r="C132" s="458"/>
      <c r="D132" s="563"/>
      <c r="E132" s="567" t="s">
        <v>306</v>
      </c>
      <c r="F132" s="564"/>
      <c r="G132" s="237" t="s">
        <v>583</v>
      </c>
      <c r="H132" s="237" t="s">
        <v>585</v>
      </c>
    </row>
    <row r="133" spans="1:8" s="452" customFormat="1">
      <c r="A133" s="269"/>
      <c r="B133" s="294"/>
      <c r="C133" s="270"/>
      <c r="D133" s="565"/>
      <c r="E133" s="470" t="s">
        <v>307</v>
      </c>
      <c r="F133" s="295"/>
      <c r="G133" s="111"/>
      <c r="H133" s="111"/>
    </row>
    <row r="134" spans="1:8" s="298" customFormat="1">
      <c r="A134" s="11"/>
      <c r="B134" s="437" t="s">
        <v>566</v>
      </c>
      <c r="C134" s="18" t="s">
        <v>1206</v>
      </c>
      <c r="D134" s="14"/>
      <c r="E134" s="2"/>
      <c r="F134" s="272">
        <v>10</v>
      </c>
      <c r="G134" s="273">
        <f>IF(E134&gt;1,1*F134,E134*F134)</f>
        <v>0</v>
      </c>
      <c r="H134" s="273">
        <f>G134/15</f>
        <v>0</v>
      </c>
    </row>
    <row r="135" spans="1:8" s="298" customFormat="1">
      <c r="A135" s="11"/>
      <c r="B135" s="437" t="s">
        <v>567</v>
      </c>
      <c r="C135" s="18" t="s">
        <v>1206</v>
      </c>
      <c r="D135" s="14"/>
      <c r="E135" s="2"/>
      <c r="F135" s="272">
        <v>10</v>
      </c>
      <c r="G135" s="273">
        <f>IF(E135&gt;1,1*F135,E135*F135)</f>
        <v>0</v>
      </c>
      <c r="H135" s="273">
        <f>G135/15</f>
        <v>0</v>
      </c>
    </row>
    <row r="136" spans="1:8" s="298" customFormat="1">
      <c r="A136" s="11"/>
      <c r="B136" s="437" t="s">
        <v>568</v>
      </c>
      <c r="C136" s="18" t="s">
        <v>1206</v>
      </c>
      <c r="D136" s="14"/>
      <c r="E136" s="2"/>
      <c r="F136" s="272">
        <v>10</v>
      </c>
      <c r="G136" s="273">
        <f>IF(E136&gt;1,1*F136,E136*F136)</f>
        <v>0</v>
      </c>
      <c r="H136" s="273">
        <f>G136/15</f>
        <v>0</v>
      </c>
    </row>
    <row r="137" spans="1:8" s="298" customFormat="1">
      <c r="A137" s="11"/>
      <c r="B137" s="437" t="s">
        <v>569</v>
      </c>
      <c r="C137" s="18" t="s">
        <v>1206</v>
      </c>
      <c r="D137" s="14"/>
      <c r="E137" s="2"/>
      <c r="F137" s="272">
        <v>10</v>
      </c>
      <c r="G137" s="273">
        <f>IF(E137&gt;1,1*F137,E137*F137)</f>
        <v>0</v>
      </c>
      <c r="H137" s="273">
        <f>G137/15</f>
        <v>0</v>
      </c>
    </row>
    <row r="138" spans="1:8" s="298" customFormat="1">
      <c r="A138" s="11"/>
      <c r="B138" s="437" t="s">
        <v>570</v>
      </c>
      <c r="C138" s="18" t="s">
        <v>1206</v>
      </c>
      <c r="D138" s="14"/>
      <c r="E138" s="2"/>
      <c r="F138" s="272">
        <v>10</v>
      </c>
      <c r="G138" s="273">
        <f>IF(E138&gt;1,1*F138,E138*F138)</f>
        <v>0</v>
      </c>
      <c r="H138" s="273">
        <f>G138/15</f>
        <v>0</v>
      </c>
    </row>
    <row r="139" spans="1:8" s="298" customFormat="1">
      <c r="A139" s="305"/>
      <c r="B139" s="129"/>
      <c r="C139" s="300"/>
      <c r="D139" s="300" t="s">
        <v>462</v>
      </c>
      <c r="E139" s="534"/>
      <c r="F139" s="302"/>
      <c r="G139" s="303">
        <f>SUM(G134:G138)</f>
        <v>0</v>
      </c>
      <c r="H139" s="303">
        <f>SUM(H134:H138)</f>
        <v>0</v>
      </c>
    </row>
    <row r="140" spans="1:8" s="546" customFormat="1" ht="15">
      <c r="A140" s="552"/>
      <c r="B140" s="552"/>
      <c r="C140" s="553"/>
      <c r="D140" s="553"/>
      <c r="E140" s="552"/>
      <c r="F140" s="553"/>
      <c r="G140" s="554"/>
      <c r="H140" s="554"/>
    </row>
    <row r="141" spans="1:8" s="546" customFormat="1" ht="15">
      <c r="A141" s="555"/>
      <c r="B141" s="555"/>
      <c r="C141" s="556"/>
      <c r="D141" s="556"/>
      <c r="E141" s="555"/>
      <c r="F141" s="556"/>
      <c r="G141" s="557"/>
      <c r="H141" s="557"/>
    </row>
    <row r="142" spans="1:8" s="76" customFormat="1" ht="21" customHeight="1">
      <c r="A142" s="79">
        <v>10</v>
      </c>
      <c r="B142" s="80" t="s">
        <v>655</v>
      </c>
      <c r="C142" s="81"/>
      <c r="D142" s="82"/>
      <c r="E142" s="83"/>
      <c r="F142" s="83"/>
      <c r="G142" s="84"/>
      <c r="H142" s="85"/>
    </row>
    <row r="143" spans="1:8" s="436" customFormat="1">
      <c r="A143" s="264"/>
      <c r="B143" s="292"/>
      <c r="C143" s="265"/>
      <c r="D143" s="560"/>
      <c r="E143" s="495" t="s">
        <v>354</v>
      </c>
      <c r="F143" s="116" t="s">
        <v>287</v>
      </c>
      <c r="G143" s="105" t="s">
        <v>584</v>
      </c>
      <c r="H143" s="105" t="s">
        <v>584</v>
      </c>
    </row>
    <row r="144" spans="1:8" s="452" customFormat="1">
      <c r="A144" s="457"/>
      <c r="B144" s="562"/>
      <c r="C144" s="458"/>
      <c r="D144" s="563"/>
      <c r="E144" s="567" t="s">
        <v>306</v>
      </c>
      <c r="F144" s="564"/>
      <c r="G144" s="237" t="s">
        <v>583</v>
      </c>
      <c r="H144" s="237" t="s">
        <v>585</v>
      </c>
    </row>
    <row r="145" spans="1:8" s="452" customFormat="1">
      <c r="A145" s="269"/>
      <c r="B145" s="294"/>
      <c r="C145" s="270"/>
      <c r="D145" s="565"/>
      <c r="E145" s="568" t="s">
        <v>307</v>
      </c>
      <c r="F145" s="295"/>
      <c r="G145" s="111"/>
      <c r="H145" s="111"/>
    </row>
    <row r="146" spans="1:8" s="298" customFormat="1">
      <c r="A146" s="11"/>
      <c r="B146" s="437" t="s">
        <v>566</v>
      </c>
      <c r="C146" s="18" t="s">
        <v>1206</v>
      </c>
      <c r="D146" s="14"/>
      <c r="E146" s="2"/>
      <c r="F146" s="272">
        <v>2</v>
      </c>
      <c r="G146" s="273">
        <f>IF(E146&gt;1,1*F146,E146*F146)</f>
        <v>0</v>
      </c>
      <c r="H146" s="273">
        <f>G146/15</f>
        <v>0</v>
      </c>
    </row>
    <row r="147" spans="1:8" s="298" customFormat="1">
      <c r="A147" s="11"/>
      <c r="B147" s="437" t="s">
        <v>567</v>
      </c>
      <c r="C147" s="18" t="s">
        <v>1206</v>
      </c>
      <c r="D147" s="14"/>
      <c r="E147" s="2"/>
      <c r="F147" s="272">
        <v>2</v>
      </c>
      <c r="G147" s="273">
        <f>IF(E147&gt;1,1*F147,E147*F147)</f>
        <v>0</v>
      </c>
      <c r="H147" s="273">
        <f>G147/15</f>
        <v>0</v>
      </c>
    </row>
    <row r="148" spans="1:8" s="298" customFormat="1">
      <c r="A148" s="11"/>
      <c r="B148" s="437" t="s">
        <v>568</v>
      </c>
      <c r="C148" s="18" t="s">
        <v>1206</v>
      </c>
      <c r="D148" s="14"/>
      <c r="E148" s="2"/>
      <c r="F148" s="272">
        <v>2</v>
      </c>
      <c r="G148" s="273">
        <f>IF(E148&gt;1,1*F148,E148*F148)</f>
        <v>0</v>
      </c>
      <c r="H148" s="273">
        <f>G148/15</f>
        <v>0</v>
      </c>
    </row>
    <row r="149" spans="1:8" s="298" customFormat="1">
      <c r="A149" s="11"/>
      <c r="B149" s="437" t="s">
        <v>569</v>
      </c>
      <c r="C149" s="18" t="s">
        <v>1206</v>
      </c>
      <c r="D149" s="14"/>
      <c r="E149" s="2"/>
      <c r="F149" s="272">
        <v>2</v>
      </c>
      <c r="G149" s="273">
        <f>IF(E149&gt;1,1*F149,E149*F149)</f>
        <v>0</v>
      </c>
      <c r="H149" s="273">
        <f>G149/15</f>
        <v>0</v>
      </c>
    </row>
    <row r="150" spans="1:8" s="298" customFormat="1">
      <c r="A150" s="11"/>
      <c r="B150" s="437" t="s">
        <v>570</v>
      </c>
      <c r="C150" s="18" t="s">
        <v>1206</v>
      </c>
      <c r="D150" s="14"/>
      <c r="E150" s="2"/>
      <c r="F150" s="272">
        <v>2</v>
      </c>
      <c r="G150" s="273">
        <f>IF(E150&gt;1,1*F150,E150*F150)</f>
        <v>0</v>
      </c>
      <c r="H150" s="273">
        <f>G150/15</f>
        <v>0</v>
      </c>
    </row>
    <row r="151" spans="1:8" s="298" customFormat="1">
      <c r="A151" s="305"/>
      <c r="B151" s="129"/>
      <c r="C151" s="300"/>
      <c r="D151" s="300" t="s">
        <v>462</v>
      </c>
      <c r="E151" s="534"/>
      <c r="F151" s="302"/>
      <c r="G151" s="303">
        <f>SUM(G146:G150)</f>
        <v>0</v>
      </c>
      <c r="H151" s="303">
        <f>SUM(H146:H150)</f>
        <v>0</v>
      </c>
    </row>
    <row r="152" spans="1:8" s="546" customFormat="1" ht="15">
      <c r="A152" s="552"/>
      <c r="B152" s="552"/>
      <c r="C152" s="553"/>
      <c r="D152" s="553"/>
      <c r="E152" s="552"/>
      <c r="F152" s="553"/>
      <c r="G152" s="554"/>
      <c r="H152" s="554"/>
    </row>
    <row r="153" spans="1:8" s="546" customFormat="1" ht="15">
      <c r="A153" s="555"/>
      <c r="B153" s="555"/>
      <c r="C153" s="556"/>
      <c r="D153" s="556"/>
      <c r="E153" s="555"/>
      <c r="F153" s="556"/>
      <c r="G153" s="557"/>
      <c r="H153" s="557"/>
    </row>
    <row r="154" spans="1:8" s="76" customFormat="1" ht="21" customHeight="1">
      <c r="A154" s="79">
        <v>11</v>
      </c>
      <c r="B154" s="80" t="s">
        <v>656</v>
      </c>
      <c r="C154" s="81"/>
      <c r="D154" s="82"/>
      <c r="E154" s="83"/>
      <c r="F154" s="83"/>
      <c r="G154" s="84"/>
      <c r="H154" s="85"/>
    </row>
    <row r="155" spans="1:8" s="436" customFormat="1">
      <c r="A155" s="264"/>
      <c r="B155" s="292"/>
      <c r="C155" s="265"/>
      <c r="D155" s="560"/>
      <c r="E155" s="495" t="s">
        <v>355</v>
      </c>
      <c r="F155" s="116" t="s">
        <v>287</v>
      </c>
      <c r="G155" s="105" t="s">
        <v>584</v>
      </c>
      <c r="H155" s="105" t="s">
        <v>584</v>
      </c>
    </row>
    <row r="156" spans="1:8" s="452" customFormat="1">
      <c r="A156" s="269"/>
      <c r="B156" s="294"/>
      <c r="C156" s="270"/>
      <c r="D156" s="565"/>
      <c r="E156" s="271" t="s">
        <v>356</v>
      </c>
      <c r="F156" s="295"/>
      <c r="G156" s="111" t="s">
        <v>583</v>
      </c>
      <c r="H156" s="111" t="s">
        <v>585</v>
      </c>
    </row>
    <row r="157" spans="1:8" s="298" customFormat="1">
      <c r="A157" s="296"/>
      <c r="B157" s="112" t="s">
        <v>657</v>
      </c>
      <c r="E157" s="117"/>
      <c r="F157" s="11"/>
      <c r="G157" s="11"/>
      <c r="H157" s="11"/>
    </row>
    <row r="158" spans="1:8" s="298" customFormat="1">
      <c r="A158" s="11"/>
      <c r="B158" s="437" t="s">
        <v>566</v>
      </c>
      <c r="C158" s="14" t="s">
        <v>660</v>
      </c>
      <c r="D158" s="14"/>
      <c r="E158" s="2"/>
      <c r="F158" s="272">
        <v>13</v>
      </c>
      <c r="G158" s="273">
        <f>E158*F158</f>
        <v>0</v>
      </c>
      <c r="H158" s="273">
        <f>G158/15</f>
        <v>0</v>
      </c>
    </row>
    <row r="159" spans="1:8" s="298" customFormat="1">
      <c r="A159" s="11"/>
      <c r="B159" s="437" t="s">
        <v>567</v>
      </c>
      <c r="C159" s="14" t="s">
        <v>660</v>
      </c>
      <c r="D159" s="14"/>
      <c r="E159" s="2"/>
      <c r="F159" s="272">
        <v>13</v>
      </c>
      <c r="G159" s="273">
        <f>E159*F159</f>
        <v>0</v>
      </c>
      <c r="H159" s="273">
        <f>G159/15</f>
        <v>0</v>
      </c>
    </row>
    <row r="160" spans="1:8" s="298" customFormat="1">
      <c r="A160" s="11"/>
      <c r="B160" s="437" t="s">
        <v>568</v>
      </c>
      <c r="C160" s="14" t="s">
        <v>660</v>
      </c>
      <c r="D160" s="14"/>
      <c r="E160" s="2"/>
      <c r="F160" s="272">
        <v>13</v>
      </c>
      <c r="G160" s="273">
        <f>E160*F160</f>
        <v>0</v>
      </c>
      <c r="H160" s="273">
        <f>G160/15</f>
        <v>0</v>
      </c>
    </row>
    <row r="161" spans="1:8" s="298" customFormat="1">
      <c r="A161" s="11"/>
      <c r="B161" s="437" t="s">
        <v>569</v>
      </c>
      <c r="C161" s="14" t="s">
        <v>660</v>
      </c>
      <c r="D161" s="14"/>
      <c r="E161" s="2"/>
      <c r="F161" s="272">
        <v>13</v>
      </c>
      <c r="G161" s="273">
        <f>E161*F161</f>
        <v>0</v>
      </c>
      <c r="H161" s="273">
        <f>G161/15</f>
        <v>0</v>
      </c>
    </row>
    <row r="162" spans="1:8" s="298" customFormat="1">
      <c r="A162" s="11"/>
      <c r="B162" s="437" t="s">
        <v>570</v>
      </c>
      <c r="C162" s="14" t="s">
        <v>660</v>
      </c>
      <c r="D162" s="14"/>
      <c r="E162" s="2"/>
      <c r="F162" s="272">
        <v>13</v>
      </c>
      <c r="G162" s="273">
        <f>E162*F162</f>
        <v>0</v>
      </c>
      <c r="H162" s="273">
        <f>G162/15</f>
        <v>0</v>
      </c>
    </row>
    <row r="163" spans="1:8" s="298" customFormat="1">
      <c r="A163" s="305"/>
      <c r="B163" s="129"/>
      <c r="C163" s="300"/>
      <c r="D163" s="300" t="s">
        <v>462</v>
      </c>
      <c r="E163" s="534"/>
      <c r="F163" s="302"/>
      <c r="G163" s="303">
        <f>SUM(G158:G162)</f>
        <v>0</v>
      </c>
      <c r="H163" s="303">
        <f>SUM(H158:H162)</f>
        <v>0</v>
      </c>
    </row>
    <row r="164" spans="1:8" s="298" customFormat="1">
      <c r="A164" s="296"/>
      <c r="B164" s="112" t="s">
        <v>658</v>
      </c>
      <c r="E164" s="117"/>
      <c r="F164" s="11"/>
      <c r="G164" s="11"/>
      <c r="H164" s="11"/>
    </row>
    <row r="165" spans="1:8" s="298" customFormat="1">
      <c r="A165" s="11"/>
      <c r="B165" s="437" t="s">
        <v>566</v>
      </c>
      <c r="C165" s="14" t="s">
        <v>660</v>
      </c>
      <c r="D165" s="14"/>
      <c r="E165" s="2"/>
      <c r="F165" s="272">
        <v>18</v>
      </c>
      <c r="G165" s="273">
        <f>E165*F165</f>
        <v>0</v>
      </c>
      <c r="H165" s="273">
        <f>G165/15</f>
        <v>0</v>
      </c>
    </row>
    <row r="166" spans="1:8" s="298" customFormat="1">
      <c r="A166" s="11"/>
      <c r="B166" s="437" t="s">
        <v>567</v>
      </c>
      <c r="C166" s="14" t="s">
        <v>660</v>
      </c>
      <c r="D166" s="14"/>
      <c r="E166" s="2"/>
      <c r="F166" s="272">
        <v>18</v>
      </c>
      <c r="G166" s="273">
        <f>E166*F166</f>
        <v>0</v>
      </c>
      <c r="H166" s="273">
        <f>G166/15</f>
        <v>0</v>
      </c>
    </row>
    <row r="167" spans="1:8" s="298" customFormat="1">
      <c r="A167" s="11"/>
      <c r="B167" s="437" t="s">
        <v>568</v>
      </c>
      <c r="C167" s="14" t="s">
        <v>660</v>
      </c>
      <c r="D167" s="14"/>
      <c r="E167" s="2"/>
      <c r="F167" s="272">
        <v>18</v>
      </c>
      <c r="G167" s="273">
        <f>E167*F167</f>
        <v>0</v>
      </c>
      <c r="H167" s="273">
        <f>G167/15</f>
        <v>0</v>
      </c>
    </row>
    <row r="168" spans="1:8" s="298" customFormat="1">
      <c r="A168" s="11"/>
      <c r="B168" s="437" t="s">
        <v>569</v>
      </c>
      <c r="C168" s="14" t="s">
        <v>660</v>
      </c>
      <c r="D168" s="14"/>
      <c r="E168" s="2"/>
      <c r="F168" s="272">
        <v>18</v>
      </c>
      <c r="G168" s="273">
        <f>E168*F168</f>
        <v>0</v>
      </c>
      <c r="H168" s="273">
        <f>G168/15</f>
        <v>0</v>
      </c>
    </row>
    <row r="169" spans="1:8" s="298" customFormat="1">
      <c r="A169" s="11"/>
      <c r="B169" s="437" t="s">
        <v>570</v>
      </c>
      <c r="C169" s="14" t="s">
        <v>660</v>
      </c>
      <c r="D169" s="14"/>
      <c r="E169" s="2"/>
      <c r="F169" s="272">
        <v>18</v>
      </c>
      <c r="G169" s="273">
        <f>E169*F169</f>
        <v>0</v>
      </c>
      <c r="H169" s="273">
        <f>G169/15</f>
        <v>0</v>
      </c>
    </row>
    <row r="170" spans="1:8" s="298" customFormat="1">
      <c r="A170" s="305"/>
      <c r="B170" s="129"/>
      <c r="C170" s="300"/>
      <c r="D170" s="300" t="s">
        <v>462</v>
      </c>
      <c r="E170" s="534"/>
      <c r="F170" s="302"/>
      <c r="G170" s="303">
        <f>SUM(G165:G169)</f>
        <v>0</v>
      </c>
      <c r="H170" s="303">
        <f>SUM(H165:H169)</f>
        <v>0</v>
      </c>
    </row>
    <row r="171" spans="1:8" s="298" customFormat="1">
      <c r="A171" s="296"/>
      <c r="B171" s="112" t="s">
        <v>659</v>
      </c>
      <c r="E171" s="117"/>
      <c r="F171" s="11"/>
      <c r="G171" s="11"/>
      <c r="H171" s="11"/>
    </row>
    <row r="172" spans="1:8" s="298" customFormat="1">
      <c r="A172" s="11"/>
      <c r="B172" s="437" t="s">
        <v>566</v>
      </c>
      <c r="C172" s="14" t="s">
        <v>660</v>
      </c>
      <c r="D172" s="14"/>
      <c r="E172" s="2"/>
      <c r="F172" s="272">
        <v>30</v>
      </c>
      <c r="G172" s="273">
        <f>E172*F172</f>
        <v>0</v>
      </c>
      <c r="H172" s="273">
        <f>G172/15</f>
        <v>0</v>
      </c>
    </row>
    <row r="173" spans="1:8" s="298" customFormat="1">
      <c r="A173" s="11"/>
      <c r="B173" s="437" t="s">
        <v>567</v>
      </c>
      <c r="C173" s="14" t="s">
        <v>660</v>
      </c>
      <c r="D173" s="14"/>
      <c r="E173" s="2"/>
      <c r="F173" s="272">
        <v>30</v>
      </c>
      <c r="G173" s="273">
        <f>E173*F173</f>
        <v>0</v>
      </c>
      <c r="H173" s="273">
        <f>G173/15</f>
        <v>0</v>
      </c>
    </row>
    <row r="174" spans="1:8" s="298" customFormat="1">
      <c r="A174" s="11"/>
      <c r="B174" s="437" t="s">
        <v>568</v>
      </c>
      <c r="C174" s="14" t="s">
        <v>660</v>
      </c>
      <c r="D174" s="14"/>
      <c r="E174" s="2"/>
      <c r="F174" s="272">
        <v>30</v>
      </c>
      <c r="G174" s="273">
        <f>E174*F174</f>
        <v>0</v>
      </c>
      <c r="H174" s="273">
        <f>G174/15</f>
        <v>0</v>
      </c>
    </row>
    <row r="175" spans="1:8" s="298" customFormat="1">
      <c r="A175" s="11"/>
      <c r="B175" s="437" t="s">
        <v>569</v>
      </c>
      <c r="C175" s="14" t="s">
        <v>660</v>
      </c>
      <c r="D175" s="14"/>
      <c r="E175" s="2"/>
      <c r="F175" s="272">
        <v>30</v>
      </c>
      <c r="G175" s="273">
        <f>E175*F175</f>
        <v>0</v>
      </c>
      <c r="H175" s="273">
        <f>G175/15</f>
        <v>0</v>
      </c>
    </row>
    <row r="176" spans="1:8" s="298" customFormat="1">
      <c r="A176" s="11"/>
      <c r="B176" s="437" t="s">
        <v>570</v>
      </c>
      <c r="C176" s="14" t="s">
        <v>660</v>
      </c>
      <c r="D176" s="14"/>
      <c r="E176" s="2"/>
      <c r="F176" s="272">
        <v>30</v>
      </c>
      <c r="G176" s="273">
        <f>E176*F176</f>
        <v>0</v>
      </c>
      <c r="H176" s="273">
        <f>G176/15</f>
        <v>0</v>
      </c>
    </row>
    <row r="177" spans="1:8" s="298" customFormat="1">
      <c r="A177" s="305"/>
      <c r="B177" s="129"/>
      <c r="C177" s="300"/>
      <c r="D177" s="300" t="s">
        <v>462</v>
      </c>
      <c r="E177" s="534"/>
      <c r="F177" s="302"/>
      <c r="G177" s="303">
        <f>SUM(G172:G176)</f>
        <v>0</v>
      </c>
      <c r="H177" s="303">
        <f>SUM(H172:H176)</f>
        <v>0</v>
      </c>
    </row>
    <row r="178" spans="1:8" s="298" customFormat="1" ht="21" customHeight="1">
      <c r="A178" s="131"/>
      <c r="B178" s="132"/>
      <c r="C178" s="132"/>
      <c r="D178" s="132"/>
      <c r="E178" s="132"/>
      <c r="F178" s="133" t="s">
        <v>717</v>
      </c>
      <c r="G178" s="454">
        <f>G170+G177+G163</f>
        <v>0</v>
      </c>
      <c r="H178" s="454">
        <f>H170+H177+H163</f>
        <v>0</v>
      </c>
    </row>
    <row r="179" spans="1:8" s="546" customFormat="1" ht="15">
      <c r="A179" s="552"/>
      <c r="B179" s="552"/>
      <c r="C179" s="553"/>
      <c r="D179" s="553"/>
      <c r="E179" s="552"/>
      <c r="F179" s="553"/>
      <c r="G179" s="554"/>
      <c r="H179" s="554"/>
    </row>
    <row r="180" spans="1:8" s="546" customFormat="1" ht="15">
      <c r="A180" s="555"/>
      <c r="B180" s="555"/>
      <c r="C180" s="556"/>
      <c r="D180" s="556"/>
      <c r="E180" s="555"/>
      <c r="F180" s="556"/>
      <c r="G180" s="557"/>
      <c r="H180" s="557"/>
    </row>
    <row r="181" spans="1:8" s="76" customFormat="1" ht="21" customHeight="1">
      <c r="A181" s="79">
        <v>12</v>
      </c>
      <c r="B181" s="80" t="s">
        <v>483</v>
      </c>
      <c r="C181" s="81"/>
      <c r="D181" s="82"/>
      <c r="E181" s="83"/>
      <c r="F181" s="83"/>
      <c r="G181" s="84"/>
      <c r="H181" s="85"/>
    </row>
    <row r="182" spans="1:8" s="436" customFormat="1">
      <c r="A182" s="264"/>
      <c r="B182" s="292"/>
      <c r="C182" s="265"/>
      <c r="D182" s="560"/>
      <c r="E182" s="495" t="s">
        <v>667</v>
      </c>
      <c r="F182" s="116" t="s">
        <v>287</v>
      </c>
      <c r="G182" s="105" t="s">
        <v>584</v>
      </c>
      <c r="H182" s="105" t="s">
        <v>584</v>
      </c>
    </row>
    <row r="183" spans="1:8" s="452" customFormat="1">
      <c r="A183" s="457"/>
      <c r="B183" s="562"/>
      <c r="C183" s="458"/>
      <c r="D183" s="563"/>
      <c r="E183" s="473" t="s">
        <v>306</v>
      </c>
      <c r="F183" s="564"/>
      <c r="G183" s="237" t="s">
        <v>583</v>
      </c>
      <c r="H183" s="237" t="s">
        <v>585</v>
      </c>
    </row>
    <row r="184" spans="1:8" s="452" customFormat="1">
      <c r="A184" s="269"/>
      <c r="B184" s="294"/>
      <c r="C184" s="270"/>
      <c r="D184" s="565"/>
      <c r="E184" s="470" t="s">
        <v>307</v>
      </c>
      <c r="F184" s="295"/>
      <c r="G184" s="111"/>
      <c r="H184" s="111"/>
    </row>
    <row r="185" spans="1:8" s="298" customFormat="1">
      <c r="A185" s="11"/>
      <c r="B185" s="437" t="s">
        <v>566</v>
      </c>
      <c r="C185" s="14" t="s">
        <v>548</v>
      </c>
      <c r="D185" s="14"/>
      <c r="E185" s="2"/>
      <c r="F185" s="272">
        <v>1</v>
      </c>
      <c r="G185" s="273">
        <f>IF(E185&gt;1,1*F185,E185*F185)</f>
        <v>0</v>
      </c>
      <c r="H185" s="273">
        <f>G185/15</f>
        <v>0</v>
      </c>
    </row>
    <row r="186" spans="1:8" s="298" customFormat="1">
      <c r="A186" s="11"/>
      <c r="B186" s="437" t="s">
        <v>567</v>
      </c>
      <c r="C186" s="14" t="s">
        <v>548</v>
      </c>
      <c r="D186" s="14"/>
      <c r="E186" s="2"/>
      <c r="F186" s="272">
        <v>1</v>
      </c>
      <c r="G186" s="273">
        <f>IF(E186&gt;1,1*F186,E186*F186)</f>
        <v>0</v>
      </c>
      <c r="H186" s="273">
        <f>G186/15</f>
        <v>0</v>
      </c>
    </row>
    <row r="187" spans="1:8" s="298" customFormat="1">
      <c r="A187" s="11"/>
      <c r="B187" s="437" t="s">
        <v>568</v>
      </c>
      <c r="C187" s="14" t="s">
        <v>548</v>
      </c>
      <c r="D187" s="14"/>
      <c r="E187" s="2"/>
      <c r="F187" s="272">
        <v>1</v>
      </c>
      <c r="G187" s="273">
        <f>IF(E187&gt;1,1*F187,E187*F187)</f>
        <v>0</v>
      </c>
      <c r="H187" s="273">
        <f>G187/15</f>
        <v>0</v>
      </c>
    </row>
    <row r="188" spans="1:8" s="298" customFormat="1">
      <c r="A188" s="11"/>
      <c r="B188" s="437" t="s">
        <v>569</v>
      </c>
      <c r="C188" s="14" t="s">
        <v>548</v>
      </c>
      <c r="D188" s="14"/>
      <c r="E188" s="2"/>
      <c r="F188" s="272">
        <v>1</v>
      </c>
      <c r="G188" s="273">
        <f>IF(E188&gt;1,1*F188,E188*F188)</f>
        <v>0</v>
      </c>
      <c r="H188" s="273">
        <f>G188/15</f>
        <v>0</v>
      </c>
    </row>
    <row r="189" spans="1:8" s="298" customFormat="1">
      <c r="A189" s="11"/>
      <c r="B189" s="437" t="s">
        <v>570</v>
      </c>
      <c r="C189" s="14" t="s">
        <v>548</v>
      </c>
      <c r="D189" s="14"/>
      <c r="E189" s="2"/>
      <c r="F189" s="272">
        <v>1</v>
      </c>
      <c r="G189" s="273">
        <f>IF(E189&gt;1,1*F189,E189*F189)</f>
        <v>0</v>
      </c>
      <c r="H189" s="273">
        <f>G189/15</f>
        <v>0</v>
      </c>
    </row>
    <row r="190" spans="1:8" s="298" customFormat="1">
      <c r="A190" s="305"/>
      <c r="B190" s="129"/>
      <c r="C190" s="300"/>
      <c r="D190" s="300" t="s">
        <v>462</v>
      </c>
      <c r="E190" s="301"/>
      <c r="F190" s="302"/>
      <c r="G190" s="303">
        <f>SUM(G185:G189)</f>
        <v>0</v>
      </c>
      <c r="H190" s="303">
        <f>SUM(H185:H189)</f>
        <v>0</v>
      </c>
    </row>
    <row r="191" spans="1:8" s="546" customFormat="1" ht="15">
      <c r="A191" s="552"/>
      <c r="B191" s="552"/>
      <c r="C191" s="553"/>
      <c r="D191" s="553"/>
      <c r="E191" s="552"/>
      <c r="F191" s="553"/>
      <c r="G191" s="554"/>
      <c r="H191" s="554"/>
    </row>
    <row r="192" spans="1:8" s="546" customFormat="1" ht="15">
      <c r="A192" s="555"/>
      <c r="B192" s="555"/>
      <c r="C192" s="556"/>
      <c r="D192" s="556"/>
      <c r="E192" s="555"/>
      <c r="F192" s="556"/>
      <c r="G192" s="557"/>
      <c r="H192" s="557"/>
    </row>
    <row r="193" spans="1:8" s="76" customFormat="1" ht="21" customHeight="1">
      <c r="A193" s="79">
        <v>13</v>
      </c>
      <c r="B193" s="80" t="s">
        <v>665</v>
      </c>
      <c r="C193" s="81"/>
      <c r="D193" s="82"/>
      <c r="E193" s="83"/>
      <c r="F193" s="83"/>
      <c r="G193" s="84"/>
      <c r="H193" s="85"/>
    </row>
    <row r="194" spans="1:8" s="436" customFormat="1">
      <c r="A194" s="264"/>
      <c r="B194" s="292"/>
      <c r="C194" s="265"/>
      <c r="D194" s="560"/>
      <c r="E194" s="495" t="s">
        <v>666</v>
      </c>
      <c r="F194" s="116" t="s">
        <v>287</v>
      </c>
      <c r="G194" s="105" t="s">
        <v>584</v>
      </c>
      <c r="H194" s="105" t="s">
        <v>584</v>
      </c>
    </row>
    <row r="195" spans="1:8" s="452" customFormat="1">
      <c r="A195" s="457"/>
      <c r="B195" s="562"/>
      <c r="C195" s="458"/>
      <c r="D195" s="563"/>
      <c r="E195" s="473" t="s">
        <v>306</v>
      </c>
      <c r="F195" s="564"/>
      <c r="G195" s="237" t="s">
        <v>583</v>
      </c>
      <c r="H195" s="237" t="s">
        <v>585</v>
      </c>
    </row>
    <row r="196" spans="1:8" s="452" customFormat="1">
      <c r="A196" s="269"/>
      <c r="B196" s="294"/>
      <c r="C196" s="270"/>
      <c r="D196" s="565"/>
      <c r="E196" s="470" t="s">
        <v>307</v>
      </c>
      <c r="F196" s="295"/>
      <c r="G196" s="111"/>
      <c r="H196" s="111"/>
    </row>
    <row r="197" spans="1:8" s="298" customFormat="1">
      <c r="A197" s="11"/>
      <c r="B197" s="437" t="s">
        <v>566</v>
      </c>
      <c r="C197" s="14" t="s">
        <v>549</v>
      </c>
      <c r="D197" s="14"/>
      <c r="E197" s="2"/>
      <c r="F197" s="272">
        <v>6</v>
      </c>
      <c r="G197" s="273">
        <f>IF(E197&gt;1,1*F197,E197*F197)</f>
        <v>0</v>
      </c>
      <c r="H197" s="273">
        <f>G197/15</f>
        <v>0</v>
      </c>
    </row>
    <row r="198" spans="1:8" s="298" customFormat="1">
      <c r="A198" s="11"/>
      <c r="B198" s="437" t="s">
        <v>567</v>
      </c>
      <c r="C198" s="14" t="s">
        <v>549</v>
      </c>
      <c r="D198" s="14"/>
      <c r="E198" s="2"/>
      <c r="F198" s="272">
        <v>6</v>
      </c>
      <c r="G198" s="273">
        <f>IF(E198&gt;1,1*F198,E198*F198)</f>
        <v>0</v>
      </c>
      <c r="H198" s="273">
        <f>G198/15</f>
        <v>0</v>
      </c>
    </row>
    <row r="199" spans="1:8" s="298" customFormat="1">
      <c r="A199" s="11"/>
      <c r="B199" s="437" t="s">
        <v>568</v>
      </c>
      <c r="C199" s="14" t="s">
        <v>549</v>
      </c>
      <c r="D199" s="14"/>
      <c r="E199" s="2"/>
      <c r="F199" s="272">
        <v>6</v>
      </c>
      <c r="G199" s="273">
        <f>IF(E199&gt;1,1*F199,E199*F199)</f>
        <v>0</v>
      </c>
      <c r="H199" s="273">
        <f>G199/15</f>
        <v>0</v>
      </c>
    </row>
    <row r="200" spans="1:8" s="298" customFormat="1">
      <c r="A200" s="11"/>
      <c r="B200" s="437" t="s">
        <v>569</v>
      </c>
      <c r="C200" s="14" t="s">
        <v>549</v>
      </c>
      <c r="D200" s="14"/>
      <c r="E200" s="2"/>
      <c r="F200" s="272">
        <v>6</v>
      </c>
      <c r="G200" s="273">
        <f>IF(E200&gt;1,1*F200,E200*F200)</f>
        <v>0</v>
      </c>
      <c r="H200" s="273">
        <f>G200/15</f>
        <v>0</v>
      </c>
    </row>
    <row r="201" spans="1:8" s="298" customFormat="1">
      <c r="A201" s="11"/>
      <c r="B201" s="437" t="s">
        <v>570</v>
      </c>
      <c r="C201" s="14" t="s">
        <v>549</v>
      </c>
      <c r="D201" s="14"/>
      <c r="E201" s="2"/>
      <c r="F201" s="272">
        <v>6</v>
      </c>
      <c r="G201" s="273">
        <f>IF(E201&gt;1,1*F201,E201*F201)</f>
        <v>0</v>
      </c>
      <c r="H201" s="273">
        <f>G201/15</f>
        <v>0</v>
      </c>
    </row>
    <row r="202" spans="1:8" s="298" customFormat="1">
      <c r="A202" s="305"/>
      <c r="B202" s="129"/>
      <c r="C202" s="300"/>
      <c r="D202" s="300" t="s">
        <v>462</v>
      </c>
      <c r="E202" s="534"/>
      <c r="F202" s="302"/>
      <c r="G202" s="303">
        <f>SUM(G197:G201)</f>
        <v>0</v>
      </c>
      <c r="H202" s="303">
        <f>SUM(H197:H201)</f>
        <v>0</v>
      </c>
    </row>
    <row r="203" spans="1:8" s="546" customFormat="1" ht="15">
      <c r="A203" s="552"/>
      <c r="B203" s="552"/>
      <c r="C203" s="553"/>
      <c r="D203" s="553"/>
      <c r="E203" s="552"/>
      <c r="F203" s="553"/>
      <c r="G203" s="554"/>
      <c r="H203" s="554"/>
    </row>
    <row r="204" spans="1:8" s="546" customFormat="1" ht="15">
      <c r="A204" s="555"/>
      <c r="B204" s="555"/>
      <c r="C204" s="556"/>
      <c r="D204" s="556"/>
      <c r="E204" s="555"/>
      <c r="F204" s="556"/>
      <c r="G204" s="557"/>
      <c r="H204" s="557"/>
    </row>
    <row r="205" spans="1:8" s="76" customFormat="1" ht="21" customHeight="1">
      <c r="A205" s="79">
        <v>14</v>
      </c>
      <c r="B205" s="80" t="s">
        <v>661</v>
      </c>
      <c r="C205" s="81"/>
      <c r="D205" s="82"/>
      <c r="E205" s="83"/>
      <c r="F205" s="83"/>
      <c r="G205" s="84"/>
      <c r="H205" s="85"/>
    </row>
    <row r="206" spans="1:8" s="436" customFormat="1">
      <c r="A206" s="264"/>
      <c r="B206" s="292"/>
      <c r="C206" s="265"/>
      <c r="D206" s="560"/>
      <c r="E206" s="495" t="s">
        <v>662</v>
      </c>
      <c r="F206" s="116" t="s">
        <v>287</v>
      </c>
      <c r="G206" s="105" t="s">
        <v>584</v>
      </c>
      <c r="H206" s="105" t="s">
        <v>584</v>
      </c>
    </row>
    <row r="207" spans="1:8" s="452" customFormat="1">
      <c r="A207" s="269"/>
      <c r="B207" s="294"/>
      <c r="C207" s="270"/>
      <c r="D207" s="565"/>
      <c r="E207" s="470"/>
      <c r="F207" s="295"/>
      <c r="G207" s="111" t="s">
        <v>583</v>
      </c>
      <c r="H207" s="111" t="s">
        <v>585</v>
      </c>
    </row>
    <row r="208" spans="1:8" s="298" customFormat="1">
      <c r="A208" s="11"/>
      <c r="B208" s="437" t="s">
        <v>566</v>
      </c>
      <c r="C208" s="14" t="s">
        <v>663</v>
      </c>
      <c r="D208" s="14"/>
      <c r="E208" s="2"/>
      <c r="F208" s="272">
        <v>3</v>
      </c>
      <c r="G208" s="273">
        <f>E208*F208</f>
        <v>0</v>
      </c>
      <c r="H208" s="273">
        <f>G208/15</f>
        <v>0</v>
      </c>
    </row>
    <row r="209" spans="1:8" s="298" customFormat="1">
      <c r="A209" s="11"/>
      <c r="B209" s="437" t="s">
        <v>567</v>
      </c>
      <c r="C209" s="14" t="s">
        <v>663</v>
      </c>
      <c r="D209" s="14"/>
      <c r="E209" s="2"/>
      <c r="F209" s="272">
        <v>3</v>
      </c>
      <c r="G209" s="273">
        <f>E209*F209</f>
        <v>0</v>
      </c>
      <c r="H209" s="273">
        <f>G209/15</f>
        <v>0</v>
      </c>
    </row>
    <row r="210" spans="1:8" s="298" customFormat="1">
      <c r="A210" s="11"/>
      <c r="B210" s="437" t="s">
        <v>568</v>
      </c>
      <c r="C210" s="14" t="s">
        <v>663</v>
      </c>
      <c r="D210" s="14"/>
      <c r="E210" s="2"/>
      <c r="F210" s="272">
        <v>3</v>
      </c>
      <c r="G210" s="273">
        <f>E210*F210</f>
        <v>0</v>
      </c>
      <c r="H210" s="273">
        <f>G210/15</f>
        <v>0</v>
      </c>
    </row>
    <row r="211" spans="1:8" s="298" customFormat="1">
      <c r="A211" s="11"/>
      <c r="B211" s="437" t="s">
        <v>569</v>
      </c>
      <c r="C211" s="14" t="s">
        <v>663</v>
      </c>
      <c r="D211" s="14"/>
      <c r="E211" s="2"/>
      <c r="F211" s="272">
        <v>3</v>
      </c>
      <c r="G211" s="273">
        <f>E211*F211</f>
        <v>0</v>
      </c>
      <c r="H211" s="273">
        <f>G211/15</f>
        <v>0</v>
      </c>
    </row>
    <row r="212" spans="1:8" s="298" customFormat="1">
      <c r="A212" s="11"/>
      <c r="B212" s="437" t="s">
        <v>570</v>
      </c>
      <c r="C212" s="14" t="s">
        <v>663</v>
      </c>
      <c r="D212" s="14"/>
      <c r="E212" s="2"/>
      <c r="F212" s="272">
        <v>3</v>
      </c>
      <c r="G212" s="273">
        <f>E212*F212</f>
        <v>0</v>
      </c>
      <c r="H212" s="273">
        <f>G212/15</f>
        <v>0</v>
      </c>
    </row>
    <row r="213" spans="1:8" s="298" customFormat="1">
      <c r="A213" s="305"/>
      <c r="B213" s="129"/>
      <c r="C213" s="300"/>
      <c r="D213" s="300" t="s">
        <v>462</v>
      </c>
      <c r="E213" s="301"/>
      <c r="F213" s="302"/>
      <c r="G213" s="303">
        <f>SUM(G208:G212)</f>
        <v>0</v>
      </c>
      <c r="H213" s="303">
        <f>SUM(H208:H212)</f>
        <v>0</v>
      </c>
    </row>
    <row r="214" spans="1:8" s="546" customFormat="1" ht="15">
      <c r="A214" s="552"/>
      <c r="B214" s="552"/>
      <c r="C214" s="553"/>
      <c r="D214" s="553"/>
      <c r="E214" s="552"/>
      <c r="F214" s="553"/>
      <c r="G214" s="554"/>
      <c r="H214" s="554"/>
    </row>
    <row r="215" spans="1:8" s="546" customFormat="1" ht="15">
      <c r="A215" s="627"/>
      <c r="B215" s="627"/>
      <c r="C215" s="628"/>
      <c r="D215" s="628"/>
      <c r="E215" s="627"/>
      <c r="F215" s="628"/>
      <c r="G215" s="629"/>
      <c r="H215" s="629"/>
    </row>
    <row r="216" spans="1:8" s="76" customFormat="1" ht="21" customHeight="1">
      <c r="A216" s="79">
        <v>15</v>
      </c>
      <c r="B216" s="80" t="s">
        <v>908</v>
      </c>
      <c r="C216" s="81"/>
      <c r="D216" s="82"/>
      <c r="E216" s="83"/>
      <c r="F216" s="83"/>
      <c r="G216" s="84"/>
      <c r="H216" s="85"/>
    </row>
    <row r="217" spans="1:8" s="436" customFormat="1">
      <c r="A217" s="264"/>
      <c r="B217" s="292"/>
      <c r="C217" s="265"/>
      <c r="D217" s="560"/>
      <c r="E217" s="495" t="s">
        <v>664</v>
      </c>
      <c r="F217" s="116" t="s">
        <v>287</v>
      </c>
      <c r="G217" s="105" t="s">
        <v>584</v>
      </c>
      <c r="H217" s="105" t="s">
        <v>584</v>
      </c>
    </row>
    <row r="218" spans="1:8" s="452" customFormat="1">
      <c r="A218" s="269"/>
      <c r="B218" s="294"/>
      <c r="C218" s="270"/>
      <c r="D218" s="565"/>
      <c r="E218" s="470"/>
      <c r="F218" s="295"/>
      <c r="G218" s="111" t="s">
        <v>583</v>
      </c>
      <c r="H218" s="111" t="s">
        <v>585</v>
      </c>
    </row>
    <row r="219" spans="1:8" s="298" customFormat="1">
      <c r="A219" s="296"/>
      <c r="B219" s="112" t="s">
        <v>670</v>
      </c>
      <c r="E219" s="11"/>
      <c r="F219" s="11"/>
      <c r="G219" s="11"/>
      <c r="H219" s="11"/>
    </row>
    <row r="220" spans="1:8" s="298" customFormat="1">
      <c r="A220" s="11"/>
      <c r="B220" s="437" t="s">
        <v>566</v>
      </c>
      <c r="C220" s="14" t="s">
        <v>556</v>
      </c>
      <c r="D220" s="14"/>
      <c r="E220" s="2"/>
      <c r="F220" s="272">
        <v>6</v>
      </c>
      <c r="G220" s="273">
        <f>IF(E220&gt;1,1*F220,E220*F220)</f>
        <v>0</v>
      </c>
      <c r="H220" s="273">
        <f>G220/15</f>
        <v>0</v>
      </c>
    </row>
    <row r="221" spans="1:8" s="298" customFormat="1">
      <c r="A221" s="11"/>
      <c r="B221" s="437" t="s">
        <v>567</v>
      </c>
      <c r="C221" s="14" t="s">
        <v>556</v>
      </c>
      <c r="D221" s="14"/>
      <c r="E221" s="2"/>
      <c r="F221" s="272">
        <v>6</v>
      </c>
      <c r="G221" s="273">
        <f>IF(E221&gt;1,1*F221,E221*F221)</f>
        <v>0</v>
      </c>
      <c r="H221" s="273">
        <f>G221/15</f>
        <v>0</v>
      </c>
    </row>
    <row r="222" spans="1:8" s="298" customFormat="1">
      <c r="A222" s="11"/>
      <c r="B222" s="437" t="s">
        <v>568</v>
      </c>
      <c r="C222" s="14" t="s">
        <v>556</v>
      </c>
      <c r="D222" s="14"/>
      <c r="E222" s="2"/>
      <c r="F222" s="272">
        <v>6</v>
      </c>
      <c r="G222" s="273">
        <f>IF(E222&gt;1,1*F222,E222*F222)</f>
        <v>0</v>
      </c>
      <c r="H222" s="273">
        <f>G222/15</f>
        <v>0</v>
      </c>
    </row>
    <row r="223" spans="1:8" s="298" customFormat="1">
      <c r="A223" s="11"/>
      <c r="B223" s="437" t="s">
        <v>569</v>
      </c>
      <c r="C223" s="14" t="s">
        <v>556</v>
      </c>
      <c r="D223" s="14"/>
      <c r="E223" s="2"/>
      <c r="F223" s="272">
        <v>6</v>
      </c>
      <c r="G223" s="273">
        <f>IF(E223&gt;1,1*F223,E223*F223)</f>
        <v>0</v>
      </c>
      <c r="H223" s="273">
        <f>G223/15</f>
        <v>0</v>
      </c>
    </row>
    <row r="224" spans="1:8" s="298" customFormat="1">
      <c r="A224" s="11"/>
      <c r="B224" s="437" t="s">
        <v>570</v>
      </c>
      <c r="C224" s="14" t="s">
        <v>556</v>
      </c>
      <c r="D224" s="14"/>
      <c r="E224" s="2"/>
      <c r="F224" s="272">
        <v>6</v>
      </c>
      <c r="G224" s="273">
        <f>IF(E224&gt;1,1*F224,E224*F224)</f>
        <v>0</v>
      </c>
      <c r="H224" s="273">
        <f>G224/15</f>
        <v>0</v>
      </c>
    </row>
    <row r="225" spans="1:8" s="298" customFormat="1">
      <c r="A225" s="305"/>
      <c r="B225" s="129"/>
      <c r="C225" s="300"/>
      <c r="D225" s="300" t="s">
        <v>462</v>
      </c>
      <c r="E225" s="301"/>
      <c r="F225" s="302"/>
      <c r="G225" s="303">
        <f>SUM(G220:G224)</f>
        <v>0</v>
      </c>
      <c r="H225" s="303">
        <f>SUM(H220:H224)</f>
        <v>0</v>
      </c>
    </row>
    <row r="226" spans="1:8" s="298" customFormat="1">
      <c r="A226" s="296"/>
      <c r="B226" s="112" t="s">
        <v>671</v>
      </c>
      <c r="E226" s="11"/>
      <c r="F226" s="11"/>
      <c r="G226" s="11"/>
      <c r="H226" s="11"/>
    </row>
    <row r="227" spans="1:8" s="298" customFormat="1">
      <c r="A227" s="11"/>
      <c r="B227" s="437" t="s">
        <v>566</v>
      </c>
      <c r="C227" s="14" t="s">
        <v>556</v>
      </c>
      <c r="D227" s="14"/>
      <c r="E227" s="2"/>
      <c r="F227" s="272">
        <v>10</v>
      </c>
      <c r="G227" s="273">
        <f>IF(E227&gt;1,1*F227,E227*F227)</f>
        <v>0</v>
      </c>
      <c r="H227" s="273">
        <f>G227/15</f>
        <v>0</v>
      </c>
    </row>
    <row r="228" spans="1:8" s="298" customFormat="1">
      <c r="A228" s="11"/>
      <c r="B228" s="437" t="s">
        <v>567</v>
      </c>
      <c r="C228" s="14" t="s">
        <v>556</v>
      </c>
      <c r="D228" s="14"/>
      <c r="E228" s="2"/>
      <c r="F228" s="272">
        <v>10</v>
      </c>
      <c r="G228" s="273">
        <f>IF(E228&gt;1,1*F228,E228*F228)</f>
        <v>0</v>
      </c>
      <c r="H228" s="273">
        <f>G228/15</f>
        <v>0</v>
      </c>
    </row>
    <row r="229" spans="1:8" s="298" customFormat="1">
      <c r="A229" s="11"/>
      <c r="B229" s="437" t="s">
        <v>568</v>
      </c>
      <c r="C229" s="14" t="s">
        <v>556</v>
      </c>
      <c r="D229" s="14"/>
      <c r="E229" s="2"/>
      <c r="F229" s="272">
        <v>10</v>
      </c>
      <c r="G229" s="273">
        <f>IF(E229&gt;1,1*F229,E229*F229)</f>
        <v>0</v>
      </c>
      <c r="H229" s="273">
        <f>G229/15</f>
        <v>0</v>
      </c>
    </row>
    <row r="230" spans="1:8" s="298" customFormat="1">
      <c r="A230" s="11"/>
      <c r="B230" s="437" t="s">
        <v>569</v>
      </c>
      <c r="C230" s="14" t="s">
        <v>556</v>
      </c>
      <c r="D230" s="14"/>
      <c r="E230" s="2"/>
      <c r="F230" s="272">
        <v>10</v>
      </c>
      <c r="G230" s="273">
        <f>IF(E230&gt;1,1*F230,E230*F230)</f>
        <v>0</v>
      </c>
      <c r="H230" s="273">
        <f>G230/15</f>
        <v>0</v>
      </c>
    </row>
    <row r="231" spans="1:8" s="298" customFormat="1">
      <c r="A231" s="11"/>
      <c r="B231" s="437" t="s">
        <v>570</v>
      </c>
      <c r="C231" s="14" t="s">
        <v>556</v>
      </c>
      <c r="D231" s="14"/>
      <c r="E231" s="2"/>
      <c r="F231" s="272">
        <v>10</v>
      </c>
      <c r="G231" s="273">
        <f>IF(E231&gt;1,1*F231,E231*F231)</f>
        <v>0</v>
      </c>
      <c r="H231" s="273">
        <f>G231/15</f>
        <v>0</v>
      </c>
    </row>
    <row r="232" spans="1:8" s="298" customFormat="1">
      <c r="A232" s="305"/>
      <c r="B232" s="129"/>
      <c r="C232" s="300"/>
      <c r="D232" s="300" t="s">
        <v>462</v>
      </c>
      <c r="E232" s="301"/>
      <c r="F232" s="302"/>
      <c r="G232" s="303">
        <f>SUM(G227:G231)</f>
        <v>0</v>
      </c>
      <c r="H232" s="303">
        <f>SUM(H227:H231)</f>
        <v>0</v>
      </c>
    </row>
    <row r="233" spans="1:8" s="298" customFormat="1" ht="21" customHeight="1">
      <c r="A233" s="131"/>
      <c r="B233" s="132"/>
      <c r="C233" s="132"/>
      <c r="D233" s="132"/>
      <c r="E233" s="132"/>
      <c r="F233" s="133" t="s">
        <v>718</v>
      </c>
      <c r="G233" s="454">
        <f>G225+G232</f>
        <v>0</v>
      </c>
      <c r="H233" s="454">
        <f>H225+H232</f>
        <v>0</v>
      </c>
    </row>
    <row r="234" spans="1:8" s="546" customFormat="1" ht="15">
      <c r="A234" s="552"/>
      <c r="B234" s="552"/>
      <c r="C234" s="553"/>
      <c r="D234" s="553"/>
      <c r="E234" s="552"/>
      <c r="F234" s="553"/>
      <c r="G234" s="554"/>
      <c r="H234" s="554"/>
    </row>
    <row r="235" spans="1:8" s="546" customFormat="1" ht="15">
      <c r="A235" s="555"/>
      <c r="B235" s="555"/>
      <c r="C235" s="556"/>
      <c r="D235" s="556"/>
      <c r="E235" s="555"/>
      <c r="F235" s="556"/>
      <c r="G235" s="557"/>
      <c r="H235" s="557"/>
    </row>
    <row r="236" spans="1:8" s="76" customFormat="1" ht="21" customHeight="1">
      <c r="A236" s="79">
        <v>16</v>
      </c>
      <c r="B236" s="80" t="s">
        <v>668</v>
      </c>
      <c r="C236" s="81"/>
      <c r="D236" s="82"/>
      <c r="E236" s="83"/>
      <c r="F236" s="83"/>
      <c r="G236" s="84"/>
      <c r="H236" s="85"/>
    </row>
    <row r="237" spans="1:8" s="436" customFormat="1">
      <c r="A237" s="264"/>
      <c r="B237" s="292"/>
      <c r="C237" s="265"/>
      <c r="D237" s="560"/>
      <c r="E237" s="495" t="s">
        <v>667</v>
      </c>
      <c r="F237" s="116" t="s">
        <v>287</v>
      </c>
      <c r="G237" s="105" t="s">
        <v>584</v>
      </c>
      <c r="H237" s="105" t="s">
        <v>584</v>
      </c>
    </row>
    <row r="238" spans="1:8" s="452" customFormat="1">
      <c r="A238" s="457"/>
      <c r="B238" s="562"/>
      <c r="C238" s="458"/>
      <c r="D238" s="563"/>
      <c r="E238" s="473" t="s">
        <v>306</v>
      </c>
      <c r="F238" s="564"/>
      <c r="G238" s="237" t="s">
        <v>583</v>
      </c>
      <c r="H238" s="237" t="s">
        <v>585</v>
      </c>
    </row>
    <row r="239" spans="1:8" s="452" customFormat="1">
      <c r="A239" s="269"/>
      <c r="B239" s="294"/>
      <c r="C239" s="270"/>
      <c r="D239" s="565"/>
      <c r="E239" s="470" t="s">
        <v>307</v>
      </c>
      <c r="F239" s="295"/>
      <c r="G239" s="111"/>
      <c r="H239" s="111"/>
    </row>
    <row r="240" spans="1:8" s="298" customFormat="1">
      <c r="A240" s="11"/>
      <c r="B240" s="437" t="s">
        <v>566</v>
      </c>
      <c r="C240" s="14" t="s">
        <v>1292</v>
      </c>
      <c r="D240" s="14"/>
      <c r="E240" s="2">
        <v>1</v>
      </c>
      <c r="F240" s="272">
        <v>3</v>
      </c>
      <c r="G240" s="273">
        <f>IF(E240&gt;1,1*F240,E240*F240)</f>
        <v>3</v>
      </c>
      <c r="H240" s="273">
        <f>G240/15</f>
        <v>0.2</v>
      </c>
    </row>
    <row r="241" spans="1:8" s="298" customFormat="1">
      <c r="A241" s="11"/>
      <c r="B241" s="437" t="s">
        <v>567</v>
      </c>
      <c r="C241" s="14" t="s">
        <v>548</v>
      </c>
      <c r="D241" s="14"/>
      <c r="E241" s="2"/>
      <c r="F241" s="272">
        <v>3</v>
      </c>
      <c r="G241" s="273">
        <f>IF(E241&gt;1,1*F241,E241*F241)</f>
        <v>0</v>
      </c>
      <c r="H241" s="273">
        <f>G241/15</f>
        <v>0</v>
      </c>
    </row>
    <row r="242" spans="1:8" s="298" customFormat="1">
      <c r="A242" s="11"/>
      <c r="B242" s="437" t="s">
        <v>568</v>
      </c>
      <c r="C242" s="14" t="s">
        <v>548</v>
      </c>
      <c r="D242" s="14"/>
      <c r="E242" s="2"/>
      <c r="F242" s="272">
        <v>3</v>
      </c>
      <c r="G242" s="273">
        <f>IF(E242&gt;1,1*F242,E242*F242)</f>
        <v>0</v>
      </c>
      <c r="H242" s="273">
        <f>G242/15</f>
        <v>0</v>
      </c>
    </row>
    <row r="243" spans="1:8" s="298" customFormat="1">
      <c r="A243" s="11"/>
      <c r="B243" s="437" t="s">
        <v>569</v>
      </c>
      <c r="C243" s="14" t="s">
        <v>548</v>
      </c>
      <c r="D243" s="14"/>
      <c r="E243" s="2"/>
      <c r="F243" s="272">
        <v>3</v>
      </c>
      <c r="G243" s="273">
        <f>IF(E243&gt;1,1*F243,E243*F243)</f>
        <v>0</v>
      </c>
      <c r="H243" s="273">
        <f>G243/15</f>
        <v>0</v>
      </c>
    </row>
    <row r="244" spans="1:8" s="298" customFormat="1">
      <c r="A244" s="11"/>
      <c r="B244" s="437" t="s">
        <v>570</v>
      </c>
      <c r="C244" s="14" t="s">
        <v>548</v>
      </c>
      <c r="D244" s="14"/>
      <c r="E244" s="2"/>
      <c r="F244" s="272">
        <v>3</v>
      </c>
      <c r="G244" s="273">
        <f>IF(E244&gt;1,1*F244,E244*F244)</f>
        <v>0</v>
      </c>
      <c r="H244" s="273">
        <f>G244/15</f>
        <v>0</v>
      </c>
    </row>
    <row r="245" spans="1:8" s="298" customFormat="1">
      <c r="A245" s="305"/>
      <c r="B245" s="129"/>
      <c r="C245" s="300"/>
      <c r="D245" s="300" t="s">
        <v>462</v>
      </c>
      <c r="E245" s="301"/>
      <c r="F245" s="302"/>
      <c r="G245" s="303">
        <f>SUM(G240:G244)</f>
        <v>3</v>
      </c>
      <c r="H245" s="303">
        <f>SUM(H240:H244)</f>
        <v>0.2</v>
      </c>
    </row>
    <row r="246" spans="1:8" s="546" customFormat="1" ht="15">
      <c r="A246" s="552"/>
      <c r="B246" s="552"/>
      <c r="C246" s="553"/>
      <c r="D246" s="553"/>
      <c r="E246" s="552"/>
      <c r="F246" s="553"/>
      <c r="G246" s="554"/>
      <c r="H246" s="554"/>
    </row>
    <row r="247" spans="1:8" s="546" customFormat="1" ht="15">
      <c r="A247" s="627"/>
      <c r="B247" s="627"/>
      <c r="C247" s="628"/>
      <c r="D247" s="628"/>
      <c r="E247" s="627"/>
      <c r="F247" s="628"/>
      <c r="G247" s="629"/>
      <c r="H247" s="629"/>
    </row>
    <row r="248" spans="1:8" s="76" customFormat="1" ht="21" customHeight="1">
      <c r="A248" s="79">
        <v>17</v>
      </c>
      <c r="B248" s="80" t="s">
        <v>672</v>
      </c>
      <c r="C248" s="81"/>
      <c r="D248" s="82"/>
      <c r="E248" s="83"/>
      <c r="F248" s="83"/>
      <c r="G248" s="84"/>
      <c r="H248" s="85"/>
    </row>
    <row r="249" spans="1:8" s="436" customFormat="1">
      <c r="A249" s="264"/>
      <c r="B249" s="292"/>
      <c r="C249" s="265"/>
      <c r="D249" s="560"/>
      <c r="E249" s="495" t="s">
        <v>673</v>
      </c>
      <c r="F249" s="116" t="s">
        <v>287</v>
      </c>
      <c r="G249" s="105" t="s">
        <v>584</v>
      </c>
      <c r="H249" s="105" t="s">
        <v>584</v>
      </c>
    </row>
    <row r="250" spans="1:8" s="452" customFormat="1">
      <c r="A250" s="269"/>
      <c r="B250" s="294"/>
      <c r="C250" s="270"/>
      <c r="D250" s="565"/>
      <c r="E250" s="470"/>
      <c r="F250" s="295"/>
      <c r="G250" s="111" t="s">
        <v>583</v>
      </c>
      <c r="H250" s="111" t="s">
        <v>585</v>
      </c>
    </row>
    <row r="251" spans="1:8" s="298" customFormat="1">
      <c r="A251" s="296"/>
      <c r="B251" s="112" t="s">
        <v>676</v>
      </c>
      <c r="E251" s="11"/>
      <c r="F251" s="11"/>
      <c r="G251" s="11"/>
      <c r="H251" s="11"/>
    </row>
    <row r="252" spans="1:8" s="298" customFormat="1" ht="16.5" customHeight="1">
      <c r="A252" s="296"/>
      <c r="B252" s="297" t="s">
        <v>674</v>
      </c>
      <c r="E252" s="299"/>
      <c r="F252" s="11"/>
      <c r="G252" s="11"/>
      <c r="H252" s="11"/>
    </row>
    <row r="253" spans="1:8" s="298" customFormat="1">
      <c r="A253" s="11"/>
      <c r="B253" s="437" t="s">
        <v>566</v>
      </c>
      <c r="C253" s="14" t="s">
        <v>1325</v>
      </c>
      <c r="D253" s="14"/>
      <c r="E253" s="2">
        <v>2</v>
      </c>
      <c r="F253" s="272">
        <v>50</v>
      </c>
      <c r="G253" s="273">
        <f>IF(OR(E253="",E253=0),0,F253/E253)</f>
        <v>25</v>
      </c>
      <c r="H253" s="273">
        <f>G253/15</f>
        <v>1.6666666666666667</v>
      </c>
    </row>
    <row r="254" spans="1:8" s="298" customFormat="1">
      <c r="A254" s="11"/>
      <c r="B254" s="437" t="s">
        <v>567</v>
      </c>
      <c r="C254" s="14" t="s">
        <v>509</v>
      </c>
      <c r="D254" s="14"/>
      <c r="E254" s="2"/>
      <c r="F254" s="272">
        <v>50</v>
      </c>
      <c r="G254" s="273">
        <f>IF(OR(E254="",E254=0),0,F254/E254)</f>
        <v>0</v>
      </c>
      <c r="H254" s="273">
        <f>G254/15</f>
        <v>0</v>
      </c>
    </row>
    <row r="255" spans="1:8" s="298" customFormat="1">
      <c r="A255" s="11"/>
      <c r="B255" s="437" t="s">
        <v>568</v>
      </c>
      <c r="C255" s="14" t="s">
        <v>509</v>
      </c>
      <c r="D255" s="14"/>
      <c r="E255" s="2"/>
      <c r="F255" s="272">
        <v>50</v>
      </c>
      <c r="G255" s="273">
        <f>IF(OR(E255="",E255=0),0,F255/E255)</f>
        <v>0</v>
      </c>
      <c r="H255" s="273">
        <f>G255/15</f>
        <v>0</v>
      </c>
    </row>
    <row r="256" spans="1:8" s="298" customFormat="1">
      <c r="A256" s="11"/>
      <c r="B256" s="437" t="s">
        <v>569</v>
      </c>
      <c r="C256" s="14" t="s">
        <v>509</v>
      </c>
      <c r="D256" s="14"/>
      <c r="E256" s="2"/>
      <c r="F256" s="272">
        <v>50</v>
      </c>
      <c r="G256" s="273">
        <f>IF(OR(E256="",E256=0),0,F256/E256)</f>
        <v>0</v>
      </c>
      <c r="H256" s="273">
        <f>G256/15</f>
        <v>0</v>
      </c>
    </row>
    <row r="257" spans="1:8" s="298" customFormat="1">
      <c r="A257" s="11"/>
      <c r="B257" s="437" t="s">
        <v>570</v>
      </c>
      <c r="C257" s="14" t="s">
        <v>509</v>
      </c>
      <c r="D257" s="14"/>
      <c r="E257" s="2"/>
      <c r="F257" s="272">
        <v>50</v>
      </c>
      <c r="G257" s="273">
        <f>IF(OR(E257="",E257=0),0,F257/E257)</f>
        <v>0</v>
      </c>
      <c r="H257" s="273">
        <f>G257/15</f>
        <v>0</v>
      </c>
    </row>
    <row r="258" spans="1:8" s="298" customFormat="1">
      <c r="A258" s="11"/>
      <c r="B258" s="129"/>
      <c r="C258" s="300"/>
      <c r="D258" s="300" t="s">
        <v>462</v>
      </c>
      <c r="E258" s="301"/>
      <c r="F258" s="302"/>
      <c r="G258" s="303">
        <f>SUM(G253:G257)</f>
        <v>25</v>
      </c>
      <c r="H258" s="303">
        <f>SUM(H253:H257)</f>
        <v>1.6666666666666667</v>
      </c>
    </row>
    <row r="259" spans="1:8" s="298" customFormat="1" ht="16.5" customHeight="1">
      <c r="A259" s="296"/>
      <c r="B259" s="297" t="s">
        <v>675</v>
      </c>
      <c r="C259" s="461"/>
      <c r="D259" s="483"/>
      <c r="E259" s="299" t="s">
        <v>357</v>
      </c>
      <c r="F259" s="11"/>
      <c r="G259" s="11"/>
      <c r="H259" s="11"/>
    </row>
    <row r="260" spans="1:8" s="298" customFormat="1">
      <c r="A260" s="11"/>
      <c r="B260" s="437" t="s">
        <v>566</v>
      </c>
      <c r="C260" s="14" t="s">
        <v>509</v>
      </c>
      <c r="D260" s="578"/>
      <c r="E260" s="2"/>
      <c r="F260" s="272">
        <v>1</v>
      </c>
      <c r="G260" s="273">
        <f>F260*E260</f>
        <v>0</v>
      </c>
      <c r="H260" s="273">
        <f>G260/15</f>
        <v>0</v>
      </c>
    </row>
    <row r="261" spans="1:8" s="298" customFormat="1">
      <c r="A261" s="11"/>
      <c r="B261" s="437" t="s">
        <v>567</v>
      </c>
      <c r="C261" s="14" t="s">
        <v>509</v>
      </c>
      <c r="D261" s="578"/>
      <c r="E261" s="2"/>
      <c r="F261" s="272">
        <v>1</v>
      </c>
      <c r="G261" s="273">
        <f>F261*E261</f>
        <v>0</v>
      </c>
      <c r="H261" s="273">
        <f>G261/15</f>
        <v>0</v>
      </c>
    </row>
    <row r="262" spans="1:8" s="298" customFormat="1">
      <c r="A262" s="11"/>
      <c r="B262" s="437" t="s">
        <v>568</v>
      </c>
      <c r="C262" s="14" t="s">
        <v>509</v>
      </c>
      <c r="D262" s="578"/>
      <c r="E262" s="2"/>
      <c r="F262" s="272">
        <v>1</v>
      </c>
      <c r="G262" s="273">
        <f>F262*E262</f>
        <v>0</v>
      </c>
      <c r="H262" s="273">
        <f>G262/15</f>
        <v>0</v>
      </c>
    </row>
    <row r="263" spans="1:8" s="298" customFormat="1">
      <c r="A263" s="11"/>
      <c r="B263" s="437" t="s">
        <v>569</v>
      </c>
      <c r="C263" s="14" t="s">
        <v>509</v>
      </c>
      <c r="D263" s="578"/>
      <c r="E263" s="2"/>
      <c r="F263" s="272">
        <v>1</v>
      </c>
      <c r="G263" s="273">
        <f>F263*E263</f>
        <v>0</v>
      </c>
      <c r="H263" s="273">
        <f>G263/15</f>
        <v>0</v>
      </c>
    </row>
    <row r="264" spans="1:8" s="298" customFormat="1">
      <c r="A264" s="11"/>
      <c r="B264" s="437" t="s">
        <v>570</v>
      </c>
      <c r="C264" s="14" t="s">
        <v>509</v>
      </c>
      <c r="D264" s="578"/>
      <c r="E264" s="2"/>
      <c r="F264" s="272">
        <v>1</v>
      </c>
      <c r="G264" s="273">
        <f>F264*E264</f>
        <v>0</v>
      </c>
      <c r="H264" s="273">
        <f>G264/15</f>
        <v>0</v>
      </c>
    </row>
    <row r="265" spans="1:8" s="298" customFormat="1">
      <c r="A265" s="305"/>
      <c r="B265" s="129"/>
      <c r="C265" s="300"/>
      <c r="D265" s="300" t="s">
        <v>462</v>
      </c>
      <c r="E265" s="302"/>
      <c r="F265" s="302"/>
      <c r="G265" s="303">
        <f>SUM(G260:G264)</f>
        <v>0</v>
      </c>
      <c r="H265" s="303">
        <f>SUM(H260:H264)</f>
        <v>0</v>
      </c>
    </row>
    <row r="266" spans="1:8" s="436" customFormat="1">
      <c r="A266" s="264"/>
      <c r="B266" s="292"/>
      <c r="C266" s="265"/>
      <c r="D266" s="560"/>
      <c r="E266" s="495" t="s">
        <v>673</v>
      </c>
      <c r="F266" s="116" t="s">
        <v>287</v>
      </c>
      <c r="G266" s="105" t="s">
        <v>584</v>
      </c>
      <c r="H266" s="105" t="s">
        <v>584</v>
      </c>
    </row>
    <row r="267" spans="1:8" s="452" customFormat="1">
      <c r="A267" s="269"/>
      <c r="B267" s="294"/>
      <c r="C267" s="270"/>
      <c r="D267" s="565"/>
      <c r="E267" s="470"/>
      <c r="F267" s="295"/>
      <c r="G267" s="111" t="s">
        <v>583</v>
      </c>
      <c r="H267" s="111" t="s">
        <v>585</v>
      </c>
    </row>
    <row r="268" spans="1:8" s="298" customFormat="1">
      <c r="A268" s="296"/>
      <c r="B268" s="112" t="s">
        <v>677</v>
      </c>
      <c r="E268" s="11"/>
      <c r="F268" s="11"/>
      <c r="G268" s="11"/>
      <c r="H268" s="11"/>
    </row>
    <row r="269" spans="1:8" s="298" customFormat="1" ht="16.5" customHeight="1">
      <c r="A269" s="296"/>
      <c r="B269" s="297" t="s">
        <v>674</v>
      </c>
      <c r="E269" s="299"/>
      <c r="F269" s="11"/>
      <c r="G269" s="11"/>
      <c r="H269" s="11"/>
    </row>
    <row r="270" spans="1:8" s="298" customFormat="1">
      <c r="A270" s="11"/>
      <c r="B270" s="437" t="s">
        <v>566</v>
      </c>
      <c r="C270" s="14" t="s">
        <v>509</v>
      </c>
      <c r="D270" s="14"/>
      <c r="E270" s="2"/>
      <c r="F270" s="272">
        <v>100</v>
      </c>
      <c r="G270" s="273">
        <f>IF(OR(E270="",E270=0),0,F270/E270)</f>
        <v>0</v>
      </c>
      <c r="H270" s="273">
        <f>G270/15</f>
        <v>0</v>
      </c>
    </row>
    <row r="271" spans="1:8" s="298" customFormat="1">
      <c r="A271" s="11"/>
      <c r="B271" s="437" t="s">
        <v>567</v>
      </c>
      <c r="C271" s="14" t="s">
        <v>509</v>
      </c>
      <c r="D271" s="14"/>
      <c r="E271" s="2"/>
      <c r="F271" s="272">
        <v>100</v>
      </c>
      <c r="G271" s="273">
        <f>IF(OR(E271="",E271=0),0,F271/E271)</f>
        <v>0</v>
      </c>
      <c r="H271" s="273">
        <f>G271/15</f>
        <v>0</v>
      </c>
    </row>
    <row r="272" spans="1:8" s="298" customFormat="1">
      <c r="A272" s="11"/>
      <c r="B272" s="437" t="s">
        <v>568</v>
      </c>
      <c r="C272" s="14" t="s">
        <v>509</v>
      </c>
      <c r="D272" s="14"/>
      <c r="E272" s="2"/>
      <c r="F272" s="272">
        <v>100</v>
      </c>
      <c r="G272" s="273">
        <f>IF(OR(E272="",E272=0),0,F272/E272)</f>
        <v>0</v>
      </c>
      <c r="H272" s="273">
        <f>G272/15</f>
        <v>0</v>
      </c>
    </row>
    <row r="273" spans="1:8" s="298" customFormat="1">
      <c r="A273" s="11"/>
      <c r="B273" s="437" t="s">
        <v>569</v>
      </c>
      <c r="C273" s="14" t="s">
        <v>509</v>
      </c>
      <c r="D273" s="14"/>
      <c r="E273" s="2"/>
      <c r="F273" s="272">
        <v>100</v>
      </c>
      <c r="G273" s="273">
        <f>IF(OR(E273="",E273=0),0,F273/E273)</f>
        <v>0</v>
      </c>
      <c r="H273" s="273">
        <f>G273/15</f>
        <v>0</v>
      </c>
    </row>
    <row r="274" spans="1:8" s="298" customFormat="1">
      <c r="A274" s="11"/>
      <c r="B274" s="437" t="s">
        <v>570</v>
      </c>
      <c r="C274" s="14" t="s">
        <v>509</v>
      </c>
      <c r="D274" s="14"/>
      <c r="E274" s="2"/>
      <c r="F274" s="272">
        <v>100</v>
      </c>
      <c r="G274" s="273">
        <f>IF(OR(E274="",E274=0),0,F274/E274)</f>
        <v>0</v>
      </c>
      <c r="H274" s="273">
        <f>G274/15</f>
        <v>0</v>
      </c>
    </row>
    <row r="275" spans="1:8" s="298" customFormat="1">
      <c r="A275" s="11"/>
      <c r="B275" s="129"/>
      <c r="C275" s="300"/>
      <c r="D275" s="300" t="s">
        <v>462</v>
      </c>
      <c r="E275" s="301"/>
      <c r="F275" s="302"/>
      <c r="G275" s="303">
        <f>SUM(G270:G274)</f>
        <v>0</v>
      </c>
      <c r="H275" s="303">
        <f>SUM(H270:H274)</f>
        <v>0</v>
      </c>
    </row>
    <row r="276" spans="1:8" s="298" customFormat="1" ht="16.5" customHeight="1">
      <c r="A276" s="296"/>
      <c r="B276" s="297" t="s">
        <v>675</v>
      </c>
      <c r="C276" s="461"/>
      <c r="D276" s="483"/>
      <c r="E276" s="299" t="s">
        <v>357</v>
      </c>
      <c r="F276" s="11"/>
      <c r="G276" s="11"/>
      <c r="H276" s="11"/>
    </row>
    <row r="277" spans="1:8" s="298" customFormat="1">
      <c r="A277" s="11"/>
      <c r="B277" s="437" t="s">
        <v>566</v>
      </c>
      <c r="C277" s="14" t="s">
        <v>509</v>
      </c>
      <c r="D277" s="578"/>
      <c r="E277" s="2"/>
      <c r="F277" s="272">
        <v>1</v>
      </c>
      <c r="G277" s="273">
        <f>F277*E277</f>
        <v>0</v>
      </c>
      <c r="H277" s="273">
        <f>G277/15</f>
        <v>0</v>
      </c>
    </row>
    <row r="278" spans="1:8" s="298" customFormat="1">
      <c r="A278" s="11"/>
      <c r="B278" s="437" t="s">
        <v>567</v>
      </c>
      <c r="C278" s="14" t="s">
        <v>509</v>
      </c>
      <c r="D278" s="578"/>
      <c r="E278" s="2"/>
      <c r="F278" s="272">
        <v>1</v>
      </c>
      <c r="G278" s="273">
        <f>F278*E278</f>
        <v>0</v>
      </c>
      <c r="H278" s="273">
        <f>G278/15</f>
        <v>0</v>
      </c>
    </row>
    <row r="279" spans="1:8" s="298" customFormat="1">
      <c r="A279" s="11"/>
      <c r="B279" s="437" t="s">
        <v>568</v>
      </c>
      <c r="C279" s="14" t="s">
        <v>509</v>
      </c>
      <c r="D279" s="578"/>
      <c r="E279" s="2"/>
      <c r="F279" s="272">
        <v>1</v>
      </c>
      <c r="G279" s="273">
        <f>F279*E279</f>
        <v>0</v>
      </c>
      <c r="H279" s="273">
        <f>G279/15</f>
        <v>0</v>
      </c>
    </row>
    <row r="280" spans="1:8" s="298" customFormat="1">
      <c r="A280" s="11"/>
      <c r="B280" s="437" t="s">
        <v>569</v>
      </c>
      <c r="C280" s="14" t="s">
        <v>509</v>
      </c>
      <c r="D280" s="578"/>
      <c r="E280" s="2"/>
      <c r="F280" s="272">
        <v>1</v>
      </c>
      <c r="G280" s="273">
        <f>F280*E280</f>
        <v>0</v>
      </c>
      <c r="H280" s="273">
        <f>G280/15</f>
        <v>0</v>
      </c>
    </row>
    <row r="281" spans="1:8" s="298" customFormat="1">
      <c r="A281" s="11"/>
      <c r="B281" s="437" t="s">
        <v>570</v>
      </c>
      <c r="C281" s="14" t="s">
        <v>509</v>
      </c>
      <c r="D281" s="578"/>
      <c r="E281" s="2"/>
      <c r="F281" s="272">
        <v>1</v>
      </c>
      <c r="G281" s="273">
        <f>F281*E281</f>
        <v>0</v>
      </c>
      <c r="H281" s="273">
        <f>G281/15</f>
        <v>0</v>
      </c>
    </row>
    <row r="282" spans="1:8" s="298" customFormat="1">
      <c r="A282" s="305"/>
      <c r="B282" s="129"/>
      <c r="C282" s="300"/>
      <c r="D282" s="300" t="s">
        <v>462</v>
      </c>
      <c r="E282" s="302"/>
      <c r="F282" s="302"/>
      <c r="G282" s="303">
        <f>SUM(G277:G281)</f>
        <v>0</v>
      </c>
      <c r="H282" s="303">
        <f>SUM(H277:H281)</f>
        <v>0</v>
      </c>
    </row>
    <row r="283" spans="1:8" s="298" customFormat="1" ht="21" customHeight="1">
      <c r="A283" s="131"/>
      <c r="B283" s="132"/>
      <c r="C283" s="132"/>
      <c r="D283" s="132"/>
      <c r="E283" s="132"/>
      <c r="F283" s="133" t="s">
        <v>719</v>
      </c>
      <c r="G283" s="454">
        <f>G275+G282+G265+G258</f>
        <v>25</v>
      </c>
      <c r="H283" s="454">
        <f>H275+H282+H265+H258</f>
        <v>1.6666666666666667</v>
      </c>
    </row>
    <row r="284" spans="1:8" s="546" customFormat="1" ht="15">
      <c r="A284" s="552"/>
      <c r="B284" s="552"/>
      <c r="C284" s="553"/>
      <c r="D284" s="553"/>
      <c r="E284" s="552"/>
      <c r="F284" s="553"/>
      <c r="G284" s="554"/>
      <c r="H284" s="554"/>
    </row>
    <row r="285" spans="1:8" s="546" customFormat="1" ht="15">
      <c r="A285" s="627"/>
      <c r="B285" s="627"/>
      <c r="C285" s="628"/>
      <c r="D285" s="628"/>
      <c r="E285" s="627"/>
      <c r="F285" s="628"/>
      <c r="G285" s="629"/>
      <c r="H285" s="629"/>
    </row>
    <row r="286" spans="1:8" s="76" customFormat="1" ht="21" customHeight="1">
      <c r="A286" s="79">
        <v>18</v>
      </c>
      <c r="B286" s="80" t="s">
        <v>678</v>
      </c>
      <c r="C286" s="81"/>
      <c r="D286" s="82"/>
      <c r="E286" s="83"/>
      <c r="F286" s="83"/>
      <c r="G286" s="84"/>
      <c r="H286" s="85"/>
    </row>
    <row r="287" spans="1:8" s="436" customFormat="1">
      <c r="A287" s="264"/>
      <c r="B287" s="292"/>
      <c r="C287" s="265"/>
      <c r="D287" s="560"/>
      <c r="E287" s="495" t="s">
        <v>673</v>
      </c>
      <c r="F287" s="116" t="s">
        <v>287</v>
      </c>
      <c r="G287" s="105" t="s">
        <v>584</v>
      </c>
      <c r="H287" s="105" t="s">
        <v>584</v>
      </c>
    </row>
    <row r="288" spans="1:8" s="452" customFormat="1">
      <c r="A288" s="269"/>
      <c r="B288" s="294"/>
      <c r="C288" s="270"/>
      <c r="D288" s="565"/>
      <c r="E288" s="470"/>
      <c r="F288" s="295"/>
      <c r="G288" s="111" t="s">
        <v>583</v>
      </c>
      <c r="H288" s="111" t="s">
        <v>585</v>
      </c>
    </row>
    <row r="289" spans="1:8" s="298" customFormat="1">
      <c r="A289" s="296"/>
      <c r="B289" s="112" t="s">
        <v>676</v>
      </c>
      <c r="E289" s="11"/>
      <c r="F289" s="11"/>
      <c r="G289" s="11"/>
      <c r="H289" s="11"/>
    </row>
    <row r="290" spans="1:8" s="298" customFormat="1" ht="16.5" customHeight="1">
      <c r="A290" s="296"/>
      <c r="B290" s="297" t="s">
        <v>674</v>
      </c>
      <c r="E290" s="299"/>
      <c r="F290" s="11"/>
      <c r="G290" s="11"/>
      <c r="H290" s="11"/>
    </row>
    <row r="291" spans="1:8" s="298" customFormat="1">
      <c r="A291" s="11"/>
      <c r="B291" s="437" t="s">
        <v>566</v>
      </c>
      <c r="C291" s="14" t="s">
        <v>509</v>
      </c>
      <c r="D291" s="14"/>
      <c r="E291" s="2"/>
      <c r="F291" s="272">
        <v>100</v>
      </c>
      <c r="G291" s="273">
        <f>IF(OR(E291="",E291=0),0,F291/E291)</f>
        <v>0</v>
      </c>
      <c r="H291" s="273">
        <f>G291/15</f>
        <v>0</v>
      </c>
    </row>
    <row r="292" spans="1:8" s="298" customFormat="1">
      <c r="A292" s="11"/>
      <c r="B292" s="437" t="s">
        <v>567</v>
      </c>
      <c r="C292" s="14" t="s">
        <v>509</v>
      </c>
      <c r="D292" s="14"/>
      <c r="E292" s="2"/>
      <c r="F292" s="272">
        <v>100</v>
      </c>
      <c r="G292" s="273">
        <f>IF(OR(E292="",E292=0),0,F292/E292)</f>
        <v>0</v>
      </c>
      <c r="H292" s="273">
        <f>G292/15</f>
        <v>0</v>
      </c>
    </row>
    <row r="293" spans="1:8" s="298" customFormat="1">
      <c r="A293" s="11"/>
      <c r="B293" s="437" t="s">
        <v>568</v>
      </c>
      <c r="C293" s="14" t="s">
        <v>509</v>
      </c>
      <c r="D293" s="14"/>
      <c r="E293" s="2"/>
      <c r="F293" s="272">
        <v>100</v>
      </c>
      <c r="G293" s="273">
        <f>IF(OR(E293="",E293=0),0,F293/E293)</f>
        <v>0</v>
      </c>
      <c r="H293" s="273">
        <f>G293/15</f>
        <v>0</v>
      </c>
    </row>
    <row r="294" spans="1:8" s="298" customFormat="1">
      <c r="A294" s="11"/>
      <c r="B294" s="437" t="s">
        <v>569</v>
      </c>
      <c r="C294" s="14" t="s">
        <v>509</v>
      </c>
      <c r="D294" s="14"/>
      <c r="E294" s="2"/>
      <c r="F294" s="272">
        <v>100</v>
      </c>
      <c r="G294" s="273">
        <f>IF(OR(E294="",E294=0),0,F294/E294)</f>
        <v>0</v>
      </c>
      <c r="H294" s="273">
        <f>G294/15</f>
        <v>0</v>
      </c>
    </row>
    <row r="295" spans="1:8" s="298" customFormat="1">
      <c r="A295" s="11"/>
      <c r="B295" s="437" t="s">
        <v>570</v>
      </c>
      <c r="C295" s="14" t="s">
        <v>509</v>
      </c>
      <c r="D295" s="14"/>
      <c r="E295" s="2"/>
      <c r="F295" s="272">
        <v>100</v>
      </c>
      <c r="G295" s="273">
        <f>IF(OR(E295="",E295=0),0,F295/E295)</f>
        <v>0</v>
      </c>
      <c r="H295" s="273">
        <f>G295/15</f>
        <v>0</v>
      </c>
    </row>
    <row r="296" spans="1:8" s="298" customFormat="1">
      <c r="A296" s="11"/>
      <c r="B296" s="129"/>
      <c r="C296" s="300"/>
      <c r="D296" s="300" t="s">
        <v>462</v>
      </c>
      <c r="E296" s="301"/>
      <c r="F296" s="302"/>
      <c r="G296" s="303">
        <f>SUM(G291:G295)</f>
        <v>0</v>
      </c>
      <c r="H296" s="303">
        <f>SUM(H291:H295)</f>
        <v>0</v>
      </c>
    </row>
    <row r="297" spans="1:8" s="298" customFormat="1" ht="16.5" customHeight="1">
      <c r="A297" s="296"/>
      <c r="B297" s="297" t="s">
        <v>675</v>
      </c>
      <c r="C297" s="461"/>
      <c r="D297" s="483"/>
      <c r="E297" s="495" t="s">
        <v>358</v>
      </c>
      <c r="F297" s="11"/>
      <c r="G297" s="11"/>
      <c r="H297" s="11"/>
    </row>
    <row r="298" spans="1:8" s="298" customFormat="1">
      <c r="A298" s="11"/>
      <c r="B298" s="437" t="s">
        <v>566</v>
      </c>
      <c r="C298" s="14" t="s">
        <v>509</v>
      </c>
      <c r="D298" s="578"/>
      <c r="E298" s="2"/>
      <c r="F298" s="272">
        <v>1</v>
      </c>
      <c r="G298" s="273">
        <f>F298*E298</f>
        <v>0</v>
      </c>
      <c r="H298" s="273">
        <f>G298/15</f>
        <v>0</v>
      </c>
    </row>
    <row r="299" spans="1:8" s="298" customFormat="1">
      <c r="A299" s="11"/>
      <c r="B299" s="437" t="s">
        <v>567</v>
      </c>
      <c r="C299" s="14" t="s">
        <v>509</v>
      </c>
      <c r="D299" s="578"/>
      <c r="E299" s="2"/>
      <c r="F299" s="272">
        <v>1</v>
      </c>
      <c r="G299" s="273">
        <f>F299*E299</f>
        <v>0</v>
      </c>
      <c r="H299" s="273">
        <f>G299/15</f>
        <v>0</v>
      </c>
    </row>
    <row r="300" spans="1:8" s="298" customFormat="1">
      <c r="A300" s="11"/>
      <c r="B300" s="437" t="s">
        <v>568</v>
      </c>
      <c r="C300" s="14" t="s">
        <v>509</v>
      </c>
      <c r="D300" s="578"/>
      <c r="E300" s="2"/>
      <c r="F300" s="272">
        <v>1</v>
      </c>
      <c r="G300" s="273">
        <f>F300*E300</f>
        <v>0</v>
      </c>
      <c r="H300" s="273">
        <f>G300/15</f>
        <v>0</v>
      </c>
    </row>
    <row r="301" spans="1:8" s="298" customFormat="1">
      <c r="A301" s="11"/>
      <c r="B301" s="437" t="s">
        <v>569</v>
      </c>
      <c r="C301" s="14" t="s">
        <v>509</v>
      </c>
      <c r="D301" s="578"/>
      <c r="E301" s="2"/>
      <c r="F301" s="272">
        <v>1</v>
      </c>
      <c r="G301" s="273">
        <f>F301*E301</f>
        <v>0</v>
      </c>
      <c r="H301" s="273">
        <f>G301/15</f>
        <v>0</v>
      </c>
    </row>
    <row r="302" spans="1:8" s="298" customFormat="1">
      <c r="A302" s="11"/>
      <c r="B302" s="437" t="s">
        <v>570</v>
      </c>
      <c r="C302" s="14" t="s">
        <v>509</v>
      </c>
      <c r="D302" s="578"/>
      <c r="E302" s="2"/>
      <c r="F302" s="272">
        <v>1</v>
      </c>
      <c r="G302" s="273">
        <f>F302*E302</f>
        <v>0</v>
      </c>
      <c r="H302" s="273">
        <f>G302/15</f>
        <v>0</v>
      </c>
    </row>
    <row r="303" spans="1:8" s="298" customFormat="1">
      <c r="A303" s="305"/>
      <c r="B303" s="129"/>
      <c r="C303" s="300"/>
      <c r="D303" s="300" t="s">
        <v>462</v>
      </c>
      <c r="E303" s="302"/>
      <c r="F303" s="302"/>
      <c r="G303" s="303">
        <f>SUM(G298:G302)</f>
        <v>0</v>
      </c>
      <c r="H303" s="303">
        <f>SUM(H298:H302)</f>
        <v>0</v>
      </c>
    </row>
    <row r="304" spans="1:8" s="436" customFormat="1">
      <c r="A304" s="264"/>
      <c r="B304" s="292"/>
      <c r="C304" s="265"/>
      <c r="D304" s="560"/>
      <c r="E304" s="495" t="s">
        <v>673</v>
      </c>
      <c r="F304" s="116" t="s">
        <v>287</v>
      </c>
      <c r="G304" s="105" t="s">
        <v>584</v>
      </c>
      <c r="H304" s="105" t="s">
        <v>584</v>
      </c>
    </row>
    <row r="305" spans="1:8" s="452" customFormat="1">
      <c r="A305" s="269"/>
      <c r="B305" s="294"/>
      <c r="C305" s="270"/>
      <c r="D305" s="565"/>
      <c r="E305" s="470"/>
      <c r="F305" s="295"/>
      <c r="G305" s="111" t="s">
        <v>583</v>
      </c>
      <c r="H305" s="111" t="s">
        <v>585</v>
      </c>
    </row>
    <row r="306" spans="1:8" s="298" customFormat="1">
      <c r="A306" s="296"/>
      <c r="B306" s="112" t="s">
        <v>677</v>
      </c>
      <c r="E306" s="11"/>
      <c r="F306" s="11"/>
      <c r="G306" s="11"/>
      <c r="H306" s="11"/>
    </row>
    <row r="307" spans="1:8" s="298" customFormat="1" ht="16.5" customHeight="1">
      <c r="A307" s="296"/>
      <c r="B307" s="297" t="s">
        <v>674</v>
      </c>
      <c r="E307" s="299"/>
      <c r="F307" s="11"/>
      <c r="G307" s="11"/>
      <c r="H307" s="11"/>
    </row>
    <row r="308" spans="1:8" s="298" customFormat="1">
      <c r="A308" s="11"/>
      <c r="B308" s="437" t="s">
        <v>566</v>
      </c>
      <c r="C308" s="14" t="s">
        <v>1297</v>
      </c>
      <c r="D308" s="14"/>
      <c r="E308" s="2">
        <v>40</v>
      </c>
      <c r="F308" s="272">
        <v>200</v>
      </c>
      <c r="G308" s="273">
        <f>IF(OR(E308="",E308=0),0,F308/E308)</f>
        <v>5</v>
      </c>
      <c r="H308" s="273">
        <f>G308/15</f>
        <v>0.33333333333333331</v>
      </c>
    </row>
    <row r="309" spans="1:8" s="298" customFormat="1">
      <c r="A309" s="11"/>
      <c r="B309" s="437" t="s">
        <v>567</v>
      </c>
      <c r="C309" s="14" t="s">
        <v>509</v>
      </c>
      <c r="D309" s="14"/>
      <c r="E309" s="2"/>
      <c r="F309" s="272">
        <v>200</v>
      </c>
      <c r="G309" s="273">
        <f>IF(OR(E309="",E309=0),0,F309/E309)</f>
        <v>0</v>
      </c>
      <c r="H309" s="273">
        <f>G309/15</f>
        <v>0</v>
      </c>
    </row>
    <row r="310" spans="1:8" s="298" customFormat="1">
      <c r="A310" s="11"/>
      <c r="B310" s="437" t="s">
        <v>568</v>
      </c>
      <c r="C310" s="14" t="s">
        <v>509</v>
      </c>
      <c r="D310" s="14"/>
      <c r="E310" s="2"/>
      <c r="F310" s="272">
        <v>200</v>
      </c>
      <c r="G310" s="273">
        <f>IF(OR(E310="",E310=0),0,F310/E310)</f>
        <v>0</v>
      </c>
      <c r="H310" s="273">
        <f>G310/15</f>
        <v>0</v>
      </c>
    </row>
    <row r="311" spans="1:8" s="298" customFormat="1">
      <c r="A311" s="11"/>
      <c r="B311" s="437" t="s">
        <v>569</v>
      </c>
      <c r="C311" s="14" t="s">
        <v>509</v>
      </c>
      <c r="D311" s="14"/>
      <c r="E311" s="2"/>
      <c r="F311" s="272">
        <v>200</v>
      </c>
      <c r="G311" s="273">
        <f>IF(OR(E311="",E311=0),0,F311/E311)</f>
        <v>0</v>
      </c>
      <c r="H311" s="273">
        <f>G311/15</f>
        <v>0</v>
      </c>
    </row>
    <row r="312" spans="1:8" s="298" customFormat="1">
      <c r="A312" s="11"/>
      <c r="B312" s="437" t="s">
        <v>570</v>
      </c>
      <c r="C312" s="14" t="s">
        <v>509</v>
      </c>
      <c r="D312" s="14"/>
      <c r="E312" s="2"/>
      <c r="F312" s="272">
        <v>200</v>
      </c>
      <c r="G312" s="273">
        <f>IF(OR(E312="",E312=0),0,F312/E312)</f>
        <v>0</v>
      </c>
      <c r="H312" s="273">
        <f>G312/15</f>
        <v>0</v>
      </c>
    </row>
    <row r="313" spans="1:8" s="298" customFormat="1">
      <c r="A313" s="11"/>
      <c r="B313" s="129"/>
      <c r="C313" s="300"/>
      <c r="D313" s="300" t="s">
        <v>462</v>
      </c>
      <c r="E313" s="301"/>
      <c r="F313" s="302"/>
      <c r="G313" s="303">
        <f>SUM(G308:G312)</f>
        <v>5</v>
      </c>
      <c r="H313" s="303">
        <f>SUM(H308:H312)</f>
        <v>0.33333333333333331</v>
      </c>
    </row>
    <row r="314" spans="1:8" s="298" customFormat="1" ht="16.5" customHeight="1">
      <c r="A314" s="296"/>
      <c r="B314" s="297" t="s">
        <v>675</v>
      </c>
      <c r="D314" s="465"/>
      <c r="E314" s="495" t="s">
        <v>358</v>
      </c>
      <c r="F314" s="11"/>
      <c r="G314" s="11"/>
      <c r="H314" s="11"/>
    </row>
    <row r="315" spans="1:8" s="298" customFormat="1">
      <c r="A315" s="11"/>
      <c r="B315" s="437" t="s">
        <v>566</v>
      </c>
      <c r="C315" s="14" t="s">
        <v>509</v>
      </c>
      <c r="D315" s="578"/>
      <c r="E315" s="2"/>
      <c r="F315" s="272">
        <v>1</v>
      </c>
      <c r="G315" s="273">
        <f>F315*E315</f>
        <v>0</v>
      </c>
      <c r="H315" s="273">
        <f>G315/15</f>
        <v>0</v>
      </c>
    </row>
    <row r="316" spans="1:8" s="298" customFormat="1">
      <c r="A316" s="11"/>
      <c r="B316" s="437" t="s">
        <v>567</v>
      </c>
      <c r="C316" s="14" t="s">
        <v>509</v>
      </c>
      <c r="D316" s="578"/>
      <c r="E316" s="2"/>
      <c r="F316" s="272">
        <v>1</v>
      </c>
      <c r="G316" s="273">
        <f>F316*E316</f>
        <v>0</v>
      </c>
      <c r="H316" s="273">
        <f>G316/15</f>
        <v>0</v>
      </c>
    </row>
    <row r="317" spans="1:8" s="298" customFormat="1">
      <c r="A317" s="11"/>
      <c r="B317" s="437" t="s">
        <v>568</v>
      </c>
      <c r="C317" s="14" t="s">
        <v>509</v>
      </c>
      <c r="D317" s="578"/>
      <c r="E317" s="2"/>
      <c r="F317" s="272">
        <v>1</v>
      </c>
      <c r="G317" s="273">
        <f>F317*E317</f>
        <v>0</v>
      </c>
      <c r="H317" s="273">
        <f>G317/15</f>
        <v>0</v>
      </c>
    </row>
    <row r="318" spans="1:8" s="298" customFormat="1">
      <c r="A318" s="11"/>
      <c r="B318" s="437" t="s">
        <v>569</v>
      </c>
      <c r="C318" s="14" t="s">
        <v>509</v>
      </c>
      <c r="D318" s="578"/>
      <c r="E318" s="2"/>
      <c r="F318" s="272">
        <v>1</v>
      </c>
      <c r="G318" s="273">
        <f>F318*E318</f>
        <v>0</v>
      </c>
      <c r="H318" s="273">
        <f>G318/15</f>
        <v>0</v>
      </c>
    </row>
    <row r="319" spans="1:8" s="298" customFormat="1">
      <c r="A319" s="11"/>
      <c r="B319" s="437" t="s">
        <v>570</v>
      </c>
      <c r="C319" s="14" t="s">
        <v>509</v>
      </c>
      <c r="D319" s="578"/>
      <c r="E319" s="2"/>
      <c r="F319" s="272">
        <v>1</v>
      </c>
      <c r="G319" s="273">
        <f>F319*E319</f>
        <v>0</v>
      </c>
      <c r="H319" s="273">
        <f>G319/15</f>
        <v>0</v>
      </c>
    </row>
    <row r="320" spans="1:8" s="298" customFormat="1">
      <c r="A320" s="305"/>
      <c r="B320" s="129"/>
      <c r="C320" s="300"/>
      <c r="D320" s="300" t="s">
        <v>462</v>
      </c>
      <c r="E320" s="302"/>
      <c r="F320" s="302"/>
      <c r="G320" s="303">
        <f>SUM(G315:G319)</f>
        <v>0</v>
      </c>
      <c r="H320" s="303">
        <f>SUM(H315:H319)</f>
        <v>0</v>
      </c>
    </row>
    <row r="321" spans="1:8" s="298" customFormat="1" ht="21" customHeight="1">
      <c r="A321" s="131"/>
      <c r="B321" s="132"/>
      <c r="C321" s="132"/>
      <c r="D321" s="132"/>
      <c r="E321" s="132"/>
      <c r="F321" s="133" t="s">
        <v>742</v>
      </c>
      <c r="G321" s="454">
        <f>G313+G320+G303+G296</f>
        <v>5</v>
      </c>
      <c r="H321" s="454">
        <f>H313+H320+H303+H296</f>
        <v>0.33333333333333331</v>
      </c>
    </row>
    <row r="322" spans="1:8" s="546" customFormat="1" ht="15">
      <c r="A322" s="552"/>
      <c r="B322" s="552"/>
      <c r="C322" s="553"/>
      <c r="D322" s="553"/>
      <c r="E322" s="552"/>
      <c r="F322" s="553"/>
      <c r="G322" s="554"/>
      <c r="H322" s="554"/>
    </row>
    <row r="323" spans="1:8" s="546" customFormat="1" ht="15">
      <c r="A323" s="627"/>
      <c r="B323" s="627"/>
      <c r="C323" s="628"/>
      <c r="D323" s="628"/>
      <c r="E323" s="627"/>
      <c r="F323" s="628"/>
      <c r="G323" s="629"/>
      <c r="H323" s="629"/>
    </row>
    <row r="324" spans="1:8" s="76" customFormat="1" ht="21" customHeight="1">
      <c r="A324" s="79">
        <v>19</v>
      </c>
      <c r="B324" s="80" t="s">
        <v>679</v>
      </c>
      <c r="C324" s="81"/>
      <c r="D324" s="82"/>
      <c r="E324" s="83"/>
      <c r="F324" s="83"/>
      <c r="G324" s="84"/>
      <c r="H324" s="85"/>
    </row>
    <row r="325" spans="1:8" s="436" customFormat="1">
      <c r="A325" s="264"/>
      <c r="B325" s="292"/>
      <c r="C325" s="265"/>
      <c r="D325" s="560"/>
      <c r="E325" s="495" t="s">
        <v>680</v>
      </c>
      <c r="F325" s="116" t="s">
        <v>287</v>
      </c>
      <c r="G325" s="105" t="s">
        <v>584</v>
      </c>
      <c r="H325" s="105" t="s">
        <v>584</v>
      </c>
    </row>
    <row r="326" spans="1:8" s="452" customFormat="1">
      <c r="A326" s="269"/>
      <c r="B326" s="294"/>
      <c r="C326" s="270"/>
      <c r="D326" s="565"/>
      <c r="E326" s="470"/>
      <c r="F326" s="295"/>
      <c r="G326" s="111" t="s">
        <v>583</v>
      </c>
      <c r="H326" s="111" t="s">
        <v>585</v>
      </c>
    </row>
    <row r="327" spans="1:8" s="298" customFormat="1">
      <c r="A327" s="11"/>
      <c r="B327" s="437" t="s">
        <v>566</v>
      </c>
      <c r="C327" s="14" t="s">
        <v>1296</v>
      </c>
      <c r="D327" s="14"/>
      <c r="E327" s="2">
        <v>1</v>
      </c>
      <c r="F327" s="272">
        <v>5</v>
      </c>
      <c r="G327" s="273">
        <f>IF(E327=0,0,IF(E327&gt;=1,5))</f>
        <v>5</v>
      </c>
      <c r="H327" s="273">
        <f>G327/15</f>
        <v>0.33333333333333331</v>
      </c>
    </row>
    <row r="328" spans="1:8" s="298" customFormat="1">
      <c r="A328" s="11"/>
      <c r="B328" s="437" t="s">
        <v>567</v>
      </c>
      <c r="C328" s="14"/>
      <c r="D328" s="14"/>
      <c r="E328" s="2"/>
      <c r="F328" s="272">
        <v>5</v>
      </c>
      <c r="G328" s="273">
        <f>IF(E328=0,0,IF(E328&gt;=1,5))</f>
        <v>0</v>
      </c>
      <c r="H328" s="273">
        <f>G328/15</f>
        <v>0</v>
      </c>
    </row>
    <row r="329" spans="1:8" s="298" customFormat="1">
      <c r="A329" s="305"/>
      <c r="B329" s="129"/>
      <c r="C329" s="300"/>
      <c r="D329" s="300" t="s">
        <v>462</v>
      </c>
      <c r="E329" s="301"/>
      <c r="F329" s="302"/>
      <c r="G329" s="303">
        <f>SUM(G327:G328)</f>
        <v>5</v>
      </c>
      <c r="H329" s="303">
        <f>SUM(H327:H328)</f>
        <v>0.33333333333333331</v>
      </c>
    </row>
    <row r="330" spans="1:8" s="546" customFormat="1" ht="15">
      <c r="A330" s="552"/>
      <c r="B330" s="552"/>
      <c r="C330" s="553"/>
      <c r="D330" s="553"/>
      <c r="E330" s="552"/>
      <c r="F330" s="553"/>
      <c r="G330" s="554"/>
      <c r="H330" s="554"/>
    </row>
    <row r="331" spans="1:8" s="546" customFormat="1" ht="15">
      <c r="A331" s="555"/>
      <c r="B331" s="555"/>
      <c r="C331" s="556"/>
      <c r="D331" s="556"/>
      <c r="E331" s="555"/>
      <c r="F331" s="556"/>
      <c r="G331" s="557"/>
      <c r="H331" s="557"/>
    </row>
    <row r="332" spans="1:8" s="76" customFormat="1" ht="21" customHeight="1">
      <c r="A332" s="79">
        <v>20</v>
      </c>
      <c r="B332" s="80" t="s">
        <v>681</v>
      </c>
      <c r="C332" s="81"/>
      <c r="D332" s="82"/>
      <c r="E332" s="83"/>
      <c r="F332" s="83"/>
      <c r="G332" s="84"/>
      <c r="H332" s="85"/>
    </row>
    <row r="333" spans="1:8" s="436" customFormat="1">
      <c r="A333" s="264"/>
      <c r="B333" s="292"/>
      <c r="C333" s="265"/>
      <c r="D333" s="560"/>
      <c r="E333" s="495" t="s">
        <v>604</v>
      </c>
      <c r="F333" s="116" t="s">
        <v>287</v>
      </c>
      <c r="G333" s="105" t="s">
        <v>584</v>
      </c>
      <c r="H333" s="105" t="s">
        <v>584</v>
      </c>
    </row>
    <row r="334" spans="1:8" s="452" customFormat="1">
      <c r="A334" s="269"/>
      <c r="B334" s="294"/>
      <c r="C334" s="270"/>
      <c r="D334" s="565"/>
      <c r="E334" s="271" t="s">
        <v>359</v>
      </c>
      <c r="F334" s="295"/>
      <c r="G334" s="111" t="s">
        <v>583</v>
      </c>
      <c r="H334" s="111" t="s">
        <v>585</v>
      </c>
    </row>
    <row r="335" spans="1:8" s="298" customFormat="1">
      <c r="A335" s="11"/>
      <c r="B335" s="437" t="s">
        <v>566</v>
      </c>
      <c r="C335" s="15" t="s">
        <v>682</v>
      </c>
      <c r="D335" s="578"/>
      <c r="E335" s="2"/>
      <c r="F335" s="272">
        <v>1</v>
      </c>
      <c r="G335" s="273">
        <f>E335*F335</f>
        <v>0</v>
      </c>
      <c r="H335" s="273">
        <f>G335/15</f>
        <v>0</v>
      </c>
    </row>
    <row r="336" spans="1:8" s="298" customFormat="1">
      <c r="A336" s="11"/>
      <c r="B336" s="437" t="s">
        <v>567</v>
      </c>
      <c r="C336" s="14" t="s">
        <v>682</v>
      </c>
      <c r="D336" s="578"/>
      <c r="E336" s="2"/>
      <c r="F336" s="272">
        <v>1</v>
      </c>
      <c r="G336" s="273">
        <f>E336*F336</f>
        <v>0</v>
      </c>
      <c r="H336" s="273">
        <f>G336/15</f>
        <v>0</v>
      </c>
    </row>
    <row r="337" spans="1:8" s="298" customFormat="1">
      <c r="A337" s="11"/>
      <c r="B337" s="437" t="s">
        <v>568</v>
      </c>
      <c r="C337" s="14" t="s">
        <v>682</v>
      </c>
      <c r="D337" s="578"/>
      <c r="E337" s="2"/>
      <c r="F337" s="272">
        <v>1</v>
      </c>
      <c r="G337" s="273">
        <f>E337*F337</f>
        <v>0</v>
      </c>
      <c r="H337" s="273">
        <f>G337/15</f>
        <v>0</v>
      </c>
    </row>
    <row r="338" spans="1:8" s="298" customFormat="1">
      <c r="A338" s="11"/>
      <c r="B338" s="437" t="s">
        <v>569</v>
      </c>
      <c r="C338" s="14" t="s">
        <v>682</v>
      </c>
      <c r="D338" s="578"/>
      <c r="E338" s="2"/>
      <c r="F338" s="272">
        <v>1</v>
      </c>
      <c r="G338" s="273">
        <f>E338*F338</f>
        <v>0</v>
      </c>
      <c r="H338" s="273">
        <f>G338/15</f>
        <v>0</v>
      </c>
    </row>
    <row r="339" spans="1:8" s="298" customFormat="1">
      <c r="A339" s="11"/>
      <c r="B339" s="437" t="s">
        <v>570</v>
      </c>
      <c r="C339" s="14" t="s">
        <v>682</v>
      </c>
      <c r="D339" s="578"/>
      <c r="E339" s="2"/>
      <c r="F339" s="272">
        <v>1</v>
      </c>
      <c r="G339" s="273">
        <f>E339*F339</f>
        <v>0</v>
      </c>
      <c r="H339" s="273">
        <f>G339/15</f>
        <v>0</v>
      </c>
    </row>
    <row r="340" spans="1:8" s="298" customFormat="1">
      <c r="A340" s="305"/>
      <c r="B340" s="129"/>
      <c r="C340" s="300"/>
      <c r="D340" s="300" t="s">
        <v>462</v>
      </c>
      <c r="E340" s="302"/>
      <c r="F340" s="302"/>
      <c r="G340" s="303">
        <f>SUM(G335:G339)</f>
        <v>0</v>
      </c>
      <c r="H340" s="303">
        <f>SUM(H335:H339)</f>
        <v>0</v>
      </c>
    </row>
    <row r="341" spans="1:8" s="546" customFormat="1" ht="15">
      <c r="A341" s="552"/>
      <c r="B341" s="552"/>
      <c r="C341" s="553"/>
      <c r="D341" s="553"/>
      <c r="E341" s="552"/>
      <c r="F341" s="553"/>
      <c r="G341" s="554"/>
      <c r="H341" s="554"/>
    </row>
    <row r="342" spans="1:8" s="546" customFormat="1" ht="15">
      <c r="A342" s="555"/>
      <c r="B342" s="555"/>
      <c r="C342" s="556"/>
      <c r="D342" s="556"/>
      <c r="E342" s="555"/>
      <c r="F342" s="556"/>
      <c r="G342" s="557"/>
      <c r="H342" s="557"/>
    </row>
    <row r="343" spans="1:8" s="76" customFormat="1" ht="34.5" customHeight="1">
      <c r="A343" s="559">
        <v>21</v>
      </c>
      <c r="B343" s="1387" t="s">
        <v>1258</v>
      </c>
      <c r="C343" s="1387"/>
      <c r="D343" s="1387"/>
      <c r="E343" s="1387"/>
      <c r="F343" s="1387"/>
      <c r="G343" s="1387"/>
      <c r="H343" s="1388"/>
    </row>
    <row r="344" spans="1:8" s="436" customFormat="1">
      <c r="A344" s="264"/>
      <c r="B344" s="292"/>
      <c r="C344" s="265"/>
      <c r="D344" s="560"/>
      <c r="E344" s="495" t="s">
        <v>604</v>
      </c>
      <c r="F344" s="116" t="s">
        <v>287</v>
      </c>
      <c r="G344" s="105" t="s">
        <v>584</v>
      </c>
      <c r="H344" s="105" t="s">
        <v>584</v>
      </c>
    </row>
    <row r="345" spans="1:8" s="452" customFormat="1">
      <c r="A345" s="269"/>
      <c r="B345" s="294"/>
      <c r="C345" s="270"/>
      <c r="D345" s="565"/>
      <c r="E345" s="271" t="s">
        <v>359</v>
      </c>
      <c r="F345" s="295"/>
      <c r="G345" s="111" t="s">
        <v>583</v>
      </c>
      <c r="H345" s="111" t="s">
        <v>585</v>
      </c>
    </row>
    <row r="346" spans="1:8" s="298" customFormat="1">
      <c r="A346" s="11"/>
      <c r="B346" s="437" t="s">
        <v>566</v>
      </c>
      <c r="C346" s="15" t="s">
        <v>1295</v>
      </c>
      <c r="D346" s="578"/>
      <c r="E346" s="2">
        <v>15</v>
      </c>
      <c r="F346" s="272">
        <v>1</v>
      </c>
      <c r="G346" s="273">
        <f>E346*F346</f>
        <v>15</v>
      </c>
      <c r="H346" s="273">
        <f>G346/15</f>
        <v>1</v>
      </c>
    </row>
    <row r="347" spans="1:8" s="298" customFormat="1">
      <c r="A347" s="11"/>
      <c r="B347" s="437" t="s">
        <v>567</v>
      </c>
      <c r="C347" s="14" t="s">
        <v>804</v>
      </c>
      <c r="D347" s="578"/>
      <c r="E347" s="2"/>
      <c r="F347" s="272">
        <v>1</v>
      </c>
      <c r="G347" s="273">
        <f>E347*F347</f>
        <v>0</v>
      </c>
      <c r="H347" s="273">
        <f>G347/15</f>
        <v>0</v>
      </c>
    </row>
    <row r="348" spans="1:8" s="298" customFormat="1">
      <c r="A348" s="11"/>
      <c r="B348" s="437" t="s">
        <v>568</v>
      </c>
      <c r="C348" s="14" t="s">
        <v>804</v>
      </c>
      <c r="D348" s="578"/>
      <c r="E348" s="2"/>
      <c r="F348" s="272">
        <v>1</v>
      </c>
      <c r="G348" s="273">
        <f>E348*F348</f>
        <v>0</v>
      </c>
      <c r="H348" s="273">
        <f>G348/15</f>
        <v>0</v>
      </c>
    </row>
    <row r="349" spans="1:8" s="298" customFormat="1">
      <c r="A349" s="11"/>
      <c r="B349" s="437" t="s">
        <v>569</v>
      </c>
      <c r="C349" s="14" t="s">
        <v>804</v>
      </c>
      <c r="D349" s="578"/>
      <c r="E349" s="2"/>
      <c r="F349" s="272">
        <v>1</v>
      </c>
      <c r="G349" s="273">
        <f>E349*F349</f>
        <v>0</v>
      </c>
      <c r="H349" s="273">
        <f>G349/15</f>
        <v>0</v>
      </c>
    </row>
    <row r="350" spans="1:8" s="298" customFormat="1">
      <c r="A350" s="11"/>
      <c r="B350" s="437" t="s">
        <v>570</v>
      </c>
      <c r="C350" s="72" t="s">
        <v>804</v>
      </c>
      <c r="D350" s="578"/>
      <c r="E350" s="2"/>
      <c r="F350" s="272">
        <v>1</v>
      </c>
      <c r="G350" s="273">
        <f>E350*F350</f>
        <v>0</v>
      </c>
      <c r="H350" s="273">
        <f>G350/15</f>
        <v>0</v>
      </c>
    </row>
    <row r="351" spans="1:8" s="298" customFormat="1">
      <c r="A351" s="305"/>
      <c r="B351" s="129"/>
      <c r="C351" s="300"/>
      <c r="D351" s="300" t="s">
        <v>462</v>
      </c>
      <c r="E351" s="302"/>
      <c r="F351" s="302"/>
      <c r="G351" s="303">
        <f>SUM(G346:G350)</f>
        <v>15</v>
      </c>
      <c r="H351" s="303">
        <f>SUM(H346:H350)</f>
        <v>1</v>
      </c>
    </row>
    <row r="352" spans="1:8" s="546" customFormat="1" ht="15">
      <c r="A352" s="552"/>
      <c r="B352" s="552"/>
      <c r="C352" s="553"/>
      <c r="D352" s="553"/>
      <c r="E352" s="552"/>
      <c r="F352" s="553"/>
      <c r="G352" s="554"/>
      <c r="H352" s="554"/>
    </row>
    <row r="353" spans="1:9" s="546" customFormat="1" ht="15">
      <c r="A353" s="627"/>
      <c r="B353" s="627"/>
      <c r="C353" s="628"/>
      <c r="D353" s="628"/>
      <c r="E353" s="627"/>
      <c r="F353" s="628"/>
      <c r="G353" s="629"/>
      <c r="H353" s="629"/>
    </row>
    <row r="354" spans="1:9" s="76" customFormat="1" ht="18">
      <c r="A354" s="569">
        <v>22</v>
      </c>
      <c r="B354" s="1387" t="s">
        <v>803</v>
      </c>
      <c r="C354" s="1387"/>
      <c r="D354" s="1387"/>
      <c r="E354" s="1387"/>
      <c r="F354" s="1387"/>
      <c r="G354" s="1387"/>
      <c r="H354" s="1388"/>
    </row>
    <row r="355" spans="1:9" s="436" customFormat="1">
      <c r="A355" s="264"/>
      <c r="B355" s="292"/>
      <c r="C355" s="265"/>
      <c r="D355" s="560"/>
      <c r="E355" s="495" t="s">
        <v>604</v>
      </c>
      <c r="F355" s="116" t="s">
        <v>287</v>
      </c>
      <c r="G355" s="105" t="s">
        <v>584</v>
      </c>
      <c r="H355" s="105" t="s">
        <v>584</v>
      </c>
    </row>
    <row r="356" spans="1:9" s="452" customFormat="1">
      <c r="A356" s="269"/>
      <c r="B356" s="294"/>
      <c r="C356" s="270"/>
      <c r="D356" s="565"/>
      <c r="E356" s="271" t="s">
        <v>359</v>
      </c>
      <c r="F356" s="295"/>
      <c r="G356" s="111" t="s">
        <v>583</v>
      </c>
      <c r="H356" s="111" t="s">
        <v>585</v>
      </c>
    </row>
    <row r="357" spans="1:9" s="571" customFormat="1">
      <c r="A357" s="570"/>
      <c r="B357" s="437" t="s">
        <v>566</v>
      </c>
      <c r="C357" s="15" t="s">
        <v>1293</v>
      </c>
      <c r="D357" s="1213"/>
      <c r="E357" s="2">
        <v>24</v>
      </c>
      <c r="F357" s="272">
        <v>1</v>
      </c>
      <c r="G357" s="273">
        <f>E357*F357</f>
        <v>24</v>
      </c>
      <c r="H357" s="273">
        <f>G357/15</f>
        <v>1.6</v>
      </c>
    </row>
    <row r="358" spans="1:9" s="571" customFormat="1">
      <c r="A358" s="570"/>
      <c r="B358" s="437" t="s">
        <v>567</v>
      </c>
      <c r="C358" s="14" t="s">
        <v>1294</v>
      </c>
      <c r="D358" s="1213"/>
      <c r="E358" s="2">
        <v>3</v>
      </c>
      <c r="F358" s="272">
        <v>1</v>
      </c>
      <c r="G358" s="273">
        <f>E358*F358</f>
        <v>3</v>
      </c>
      <c r="H358" s="273">
        <f>G358/15</f>
        <v>0.2</v>
      </c>
    </row>
    <row r="359" spans="1:9" s="571" customFormat="1">
      <c r="A359" s="570"/>
      <c r="B359" s="437" t="s">
        <v>568</v>
      </c>
      <c r="C359" s="14" t="s">
        <v>314</v>
      </c>
      <c r="D359" s="579"/>
      <c r="E359" s="2"/>
      <c r="F359" s="272">
        <v>1</v>
      </c>
      <c r="G359" s="273">
        <f>E359*F359</f>
        <v>0</v>
      </c>
      <c r="H359" s="273">
        <f>G359/15</f>
        <v>0</v>
      </c>
    </row>
    <row r="360" spans="1:9" s="571" customFormat="1">
      <c r="A360" s="570"/>
      <c r="B360" s="437" t="s">
        <v>569</v>
      </c>
      <c r="C360" s="14" t="s">
        <v>314</v>
      </c>
      <c r="D360" s="579"/>
      <c r="E360" s="2"/>
      <c r="F360" s="272">
        <v>1</v>
      </c>
      <c r="G360" s="273">
        <f>E360*F360</f>
        <v>0</v>
      </c>
      <c r="H360" s="273">
        <f>G360/15</f>
        <v>0</v>
      </c>
    </row>
    <row r="361" spans="1:9" s="571" customFormat="1">
      <c r="A361" s="570"/>
      <c r="B361" s="437" t="s">
        <v>570</v>
      </c>
      <c r="C361" s="72" t="s">
        <v>314</v>
      </c>
      <c r="D361" s="579"/>
      <c r="E361" s="2"/>
      <c r="F361" s="272">
        <v>1</v>
      </c>
      <c r="G361" s="273">
        <f>E361*F361</f>
        <v>0</v>
      </c>
      <c r="H361" s="273">
        <f>G361/15</f>
        <v>0</v>
      </c>
    </row>
    <row r="362" spans="1:9" s="571" customFormat="1">
      <c r="A362" s="572"/>
      <c r="B362" s="573"/>
      <c r="C362" s="574"/>
      <c r="D362" s="300" t="s">
        <v>462</v>
      </c>
      <c r="E362" s="575"/>
      <c r="F362" s="575"/>
      <c r="G362" s="303">
        <f>SUM(G357:G361)</f>
        <v>27</v>
      </c>
      <c r="H362" s="303">
        <f>SUM(H357:H361)</f>
        <v>1.8</v>
      </c>
    </row>
    <row r="363" spans="1:9" s="546" customFormat="1" ht="15">
      <c r="A363" s="552"/>
      <c r="B363" s="552"/>
      <c r="C363" s="553"/>
      <c r="D363" s="553"/>
      <c r="E363" s="552"/>
      <c r="F363" s="553"/>
      <c r="G363" s="554"/>
      <c r="H363" s="554"/>
    </row>
    <row r="364" spans="1:9" s="546" customFormat="1" ht="15">
      <c r="A364" s="555"/>
      <c r="B364" s="555"/>
      <c r="C364" s="556"/>
      <c r="D364" s="556"/>
      <c r="E364" s="555"/>
      <c r="F364" s="556"/>
      <c r="G364" s="557"/>
      <c r="H364" s="557"/>
    </row>
    <row r="365" spans="1:9" s="76" customFormat="1" ht="21" customHeight="1">
      <c r="A365" s="79">
        <v>23</v>
      </c>
      <c r="B365" s="80" t="s">
        <v>485</v>
      </c>
      <c r="C365" s="81"/>
      <c r="D365" s="82"/>
      <c r="E365" s="83"/>
      <c r="F365" s="83"/>
      <c r="G365" s="84"/>
      <c r="H365" s="85"/>
    </row>
    <row r="366" spans="1:9" s="76" customFormat="1" ht="21" customHeight="1">
      <c r="A366" s="576">
        <v>23.1</v>
      </c>
      <c r="B366" s="87" t="s">
        <v>316</v>
      </c>
      <c r="C366" s="88"/>
      <c r="D366" s="89"/>
      <c r="E366" s="90"/>
      <c r="F366" s="90"/>
      <c r="G366" s="91"/>
      <c r="H366" s="92"/>
      <c r="I366" s="78"/>
    </row>
    <row r="367" spans="1:9" s="436" customFormat="1">
      <c r="A367" s="264"/>
      <c r="B367" s="292"/>
      <c r="C367" s="266"/>
      <c r="D367" s="235" t="s">
        <v>360</v>
      </c>
      <c r="E367" s="299" t="s">
        <v>534</v>
      </c>
      <c r="F367" s="116" t="s">
        <v>287</v>
      </c>
      <c r="G367" s="105" t="s">
        <v>584</v>
      </c>
      <c r="H367" s="105" t="s">
        <v>584</v>
      </c>
    </row>
    <row r="368" spans="1:9" s="452" customFormat="1">
      <c r="A368" s="269"/>
      <c r="B368" s="294"/>
      <c r="C368" s="109"/>
      <c r="D368" s="565"/>
      <c r="E368" s="470"/>
      <c r="F368" s="295"/>
      <c r="G368" s="111" t="s">
        <v>583</v>
      </c>
      <c r="H368" s="111" t="s">
        <v>585</v>
      </c>
    </row>
    <row r="369" spans="1:9" s="298" customFormat="1">
      <c r="A369" s="460"/>
      <c r="B369" s="127" t="s">
        <v>366</v>
      </c>
      <c r="C369" s="461"/>
      <c r="D369" s="460"/>
      <c r="E369" s="460"/>
      <c r="F369" s="460"/>
      <c r="G369" s="460"/>
      <c r="H369" s="460"/>
    </row>
    <row r="370" spans="1:9" s="298" customFormat="1">
      <c r="A370" s="11"/>
      <c r="B370" s="437" t="s">
        <v>361</v>
      </c>
      <c r="C370" s="14" t="s">
        <v>509</v>
      </c>
      <c r="D370" s="2"/>
      <c r="E370" s="2"/>
      <c r="F370" s="119">
        <f>IF(AND(E370&lt;&gt;"",E370&lt;&gt;0),(15+E370)*(15+(TRUNC(D370/10000)*0.3)),0)</f>
        <v>0</v>
      </c>
      <c r="G370" s="119">
        <f>IF(D370&lt;&gt;"",(((F370/100)/2)*100)/2,0)</f>
        <v>0</v>
      </c>
      <c r="H370" s="119">
        <f>G370/15</f>
        <v>0</v>
      </c>
    </row>
    <row r="371" spans="1:9" s="298" customFormat="1">
      <c r="A371" s="11"/>
      <c r="B371" s="437" t="s">
        <v>362</v>
      </c>
      <c r="C371" s="14" t="s">
        <v>509</v>
      </c>
      <c r="D371" s="2"/>
      <c r="E371" s="2"/>
      <c r="F371" s="119">
        <f>IF(AND(E371&lt;&gt;"",E371&lt;&gt;0),(15+E371)*(15+(TRUNC(D371/10000)*0.3)),0)</f>
        <v>0</v>
      </c>
      <c r="G371" s="119">
        <f>IF(D371&lt;&gt;"",(((F371/100)/2)*100)/2,0)</f>
        <v>0</v>
      </c>
      <c r="H371" s="119">
        <f>G371/15</f>
        <v>0</v>
      </c>
    </row>
    <row r="372" spans="1:9" s="298" customFormat="1">
      <c r="A372" s="11"/>
      <c r="B372" s="437" t="s">
        <v>363</v>
      </c>
      <c r="C372" s="14" t="s">
        <v>509</v>
      </c>
      <c r="D372" s="2"/>
      <c r="E372" s="2"/>
      <c r="F372" s="119">
        <f>IF(AND(E372&lt;&gt;"",E372&lt;&gt;0),(15+E372)*(15+(TRUNC(D372/10000)*0.3)),0)</f>
        <v>0</v>
      </c>
      <c r="G372" s="119">
        <f>IF(D372&lt;&gt;"",(((F372/100)/2)*100)/2,0)</f>
        <v>0</v>
      </c>
      <c r="H372" s="119">
        <f>G372/15</f>
        <v>0</v>
      </c>
    </row>
    <row r="373" spans="1:9" s="298" customFormat="1">
      <c r="A373" s="11"/>
      <c r="B373" s="437" t="s">
        <v>364</v>
      </c>
      <c r="C373" s="14" t="s">
        <v>509</v>
      </c>
      <c r="D373" s="2"/>
      <c r="E373" s="2"/>
      <c r="F373" s="119">
        <f>IF(AND(E373&lt;&gt;"",E373&lt;&gt;0),(15+E373)*(15+(TRUNC(D373/10000)*0.3)),0)</f>
        <v>0</v>
      </c>
      <c r="G373" s="119">
        <f>IF(D373&lt;&gt;"",(((F373/100)/2)*100)/2,0)</f>
        <v>0</v>
      </c>
      <c r="H373" s="119">
        <f>G373/15</f>
        <v>0</v>
      </c>
    </row>
    <row r="374" spans="1:9" s="298" customFormat="1">
      <c r="A374" s="11"/>
      <c r="B374" s="437" t="s">
        <v>365</v>
      </c>
      <c r="C374" s="14" t="s">
        <v>509</v>
      </c>
      <c r="D374" s="2"/>
      <c r="E374" s="2"/>
      <c r="F374" s="119">
        <f>IF(AND(E374&lt;&gt;"",E374&lt;&gt;0),(15+E374)*(15+(TRUNC(D374/10000)*0.3)),0)</f>
        <v>0</v>
      </c>
      <c r="G374" s="119">
        <f>IF(D374&lt;&gt;"",(((F374/100)/2)*100)/2,0)</f>
        <v>0</v>
      </c>
      <c r="H374" s="119">
        <f>G374/15</f>
        <v>0</v>
      </c>
    </row>
    <row r="375" spans="1:9" s="298" customFormat="1">
      <c r="A375" s="11"/>
      <c r="B375" s="129"/>
      <c r="C375" s="130" t="s">
        <v>462</v>
      </c>
      <c r="D375" s="302"/>
      <c r="E375" s="302"/>
      <c r="F375" s="302"/>
      <c r="G375" s="577">
        <f>SUM(G370:G374)</f>
        <v>0</v>
      </c>
      <c r="H375" s="577">
        <f>SUM(H370:H374)</f>
        <v>0</v>
      </c>
    </row>
    <row r="376" spans="1:9" s="298" customFormat="1">
      <c r="A376" s="11"/>
      <c r="B376" s="127" t="s">
        <v>367</v>
      </c>
      <c r="D376" s="11"/>
      <c r="E376" s="11"/>
      <c r="F376" s="11"/>
      <c r="G376" s="462"/>
      <c r="H376" s="462"/>
    </row>
    <row r="377" spans="1:9" s="298" customFormat="1">
      <c r="A377" s="11"/>
      <c r="B377" s="437" t="s">
        <v>629</v>
      </c>
      <c r="C377" s="14" t="s">
        <v>509</v>
      </c>
      <c r="D377" s="2"/>
      <c r="E377" s="2"/>
      <c r="F377" s="273">
        <f>IF(AND(E377&lt;&gt;"",E377&lt;&gt;0),(15+E377)*(15+(TRUNC(D377/5000)*0.3)),0)</f>
        <v>0</v>
      </c>
      <c r="G377" s="273">
        <f>IF(D377&lt;&gt;"",(((F377/100)/2)*100)/2,0)</f>
        <v>0</v>
      </c>
      <c r="H377" s="273">
        <f>G377/15</f>
        <v>0</v>
      </c>
    </row>
    <row r="378" spans="1:9" s="298" customFormat="1">
      <c r="A378" s="11"/>
      <c r="B378" s="437" t="s">
        <v>630</v>
      </c>
      <c r="C378" s="14" t="s">
        <v>509</v>
      </c>
      <c r="D378" s="2"/>
      <c r="E378" s="2"/>
      <c r="F378" s="273">
        <f>IF(AND(E378&lt;&gt;"",E378&lt;&gt;0),(15+E378)*(15+(TRUNC(D378/5000)*0.3)),0)</f>
        <v>0</v>
      </c>
      <c r="G378" s="273">
        <f>IF(D378&lt;&gt;"",(((F378/100)/2)*100)/2,0)</f>
        <v>0</v>
      </c>
      <c r="H378" s="273">
        <f>G378/15</f>
        <v>0</v>
      </c>
    </row>
    <row r="379" spans="1:9" s="298" customFormat="1">
      <c r="A379" s="11"/>
      <c r="B379" s="437" t="s">
        <v>631</v>
      </c>
      <c r="C379" s="14" t="s">
        <v>509</v>
      </c>
      <c r="D379" s="2"/>
      <c r="E379" s="2"/>
      <c r="F379" s="273">
        <f>IF(AND(E379&lt;&gt;"",E379&lt;&gt;0),(15+E379)*(15+(TRUNC(D379/5000)*0.3)),0)</f>
        <v>0</v>
      </c>
      <c r="G379" s="273">
        <f>IF(D379&lt;&gt;"",(((F379/100)/2)*100)/2,0)</f>
        <v>0</v>
      </c>
      <c r="H379" s="273">
        <f>G379/15</f>
        <v>0</v>
      </c>
    </row>
    <row r="380" spans="1:9" s="298" customFormat="1">
      <c r="A380" s="11"/>
      <c r="B380" s="437" t="s">
        <v>632</v>
      </c>
      <c r="C380" s="14" t="s">
        <v>509</v>
      </c>
      <c r="D380" s="2"/>
      <c r="E380" s="2"/>
      <c r="F380" s="273">
        <f>IF(AND(E380&lt;&gt;"",E380&lt;&gt;0),(15+E380)*(15+(TRUNC(D380/5000)*0.3)),0)</f>
        <v>0</v>
      </c>
      <c r="G380" s="273">
        <f>IF(D380&lt;&gt;"",(((F380/100)/2)*100)/2,0)</f>
        <v>0</v>
      </c>
      <c r="H380" s="273">
        <f>G380/15</f>
        <v>0</v>
      </c>
    </row>
    <row r="381" spans="1:9" s="298" customFormat="1">
      <c r="A381" s="11"/>
      <c r="B381" s="437" t="s">
        <v>633</v>
      </c>
      <c r="C381" s="14" t="s">
        <v>509</v>
      </c>
      <c r="D381" s="2"/>
      <c r="E381" s="2"/>
      <c r="F381" s="273">
        <f>IF(AND(E381&lt;&gt;"",E381&lt;&gt;0),(15+E381)*(15+(TRUNC(D381/5000)*0.3)),0)</f>
        <v>0</v>
      </c>
      <c r="G381" s="273">
        <f>IF(D381&lt;&gt;"",(((F381/100)/2)*100)/2,0)</f>
        <v>0</v>
      </c>
      <c r="H381" s="273">
        <f>G381/15</f>
        <v>0</v>
      </c>
    </row>
    <row r="382" spans="1:9" s="298" customFormat="1">
      <c r="A382" s="305"/>
      <c r="B382" s="129"/>
      <c r="C382" s="300" t="s">
        <v>462</v>
      </c>
      <c r="D382" s="302"/>
      <c r="E382" s="302"/>
      <c r="F382" s="302"/>
      <c r="G382" s="463">
        <f>SUM(G377:G381)</f>
        <v>0</v>
      </c>
      <c r="H382" s="463">
        <f>SUM(H377:H381)</f>
        <v>0</v>
      </c>
    </row>
    <row r="383" spans="1:9" s="76" customFormat="1" ht="21" customHeight="1">
      <c r="A383" s="576">
        <v>23.2</v>
      </c>
      <c r="B383" s="87" t="s">
        <v>317</v>
      </c>
      <c r="C383" s="88"/>
      <c r="D383" s="89"/>
      <c r="E383" s="90"/>
      <c r="F383" s="90"/>
      <c r="G383" s="91"/>
      <c r="H383" s="92"/>
      <c r="I383" s="78"/>
    </row>
    <row r="384" spans="1:9" s="436" customFormat="1">
      <c r="A384" s="264"/>
      <c r="B384" s="292"/>
      <c r="C384" s="265"/>
      <c r="D384" s="266"/>
      <c r="E384" s="235" t="s">
        <v>643</v>
      </c>
      <c r="F384" s="116" t="s">
        <v>287</v>
      </c>
      <c r="G384" s="105" t="s">
        <v>584</v>
      </c>
      <c r="H384" s="105" t="s">
        <v>584</v>
      </c>
    </row>
    <row r="385" spans="1:8" s="452" customFormat="1">
      <c r="A385" s="269"/>
      <c r="B385" s="294"/>
      <c r="C385" s="270"/>
      <c r="D385" s="109"/>
      <c r="E385" s="565"/>
      <c r="F385" s="295"/>
      <c r="G385" s="111" t="s">
        <v>583</v>
      </c>
      <c r="H385" s="111" t="s">
        <v>585</v>
      </c>
    </row>
    <row r="386" spans="1:8" s="571" customFormat="1">
      <c r="A386" s="570"/>
      <c r="B386" s="437" t="s">
        <v>629</v>
      </c>
      <c r="C386" s="14" t="s">
        <v>509</v>
      </c>
      <c r="D386" s="67"/>
      <c r="E386" s="2"/>
      <c r="F386" s="272">
        <v>3</v>
      </c>
      <c r="G386" s="273">
        <f>E386*F386</f>
        <v>0</v>
      </c>
      <c r="H386" s="273">
        <f>G386/15</f>
        <v>0</v>
      </c>
    </row>
    <row r="387" spans="1:8" s="571" customFormat="1">
      <c r="A387" s="570"/>
      <c r="B387" s="437" t="s">
        <v>630</v>
      </c>
      <c r="C387" s="14" t="s">
        <v>509</v>
      </c>
      <c r="D387" s="67"/>
      <c r="E387" s="2"/>
      <c r="F387" s="272">
        <v>3</v>
      </c>
      <c r="G387" s="273">
        <f>E387*F387</f>
        <v>0</v>
      </c>
      <c r="H387" s="273">
        <f>G387/15</f>
        <v>0</v>
      </c>
    </row>
    <row r="388" spans="1:8" s="571" customFormat="1">
      <c r="A388" s="570"/>
      <c r="B388" s="437" t="s">
        <v>631</v>
      </c>
      <c r="C388" s="14" t="s">
        <v>509</v>
      </c>
      <c r="D388" s="67"/>
      <c r="E388" s="2"/>
      <c r="F388" s="272">
        <v>3</v>
      </c>
      <c r="G388" s="273">
        <f>E388*F388</f>
        <v>0</v>
      </c>
      <c r="H388" s="273">
        <f>G388/15</f>
        <v>0</v>
      </c>
    </row>
    <row r="389" spans="1:8" s="571" customFormat="1">
      <c r="A389" s="570"/>
      <c r="B389" s="437" t="s">
        <v>632</v>
      </c>
      <c r="C389" s="14" t="s">
        <v>509</v>
      </c>
      <c r="D389" s="67"/>
      <c r="E389" s="2"/>
      <c r="F389" s="272">
        <v>3</v>
      </c>
      <c r="G389" s="273">
        <f>E389*F389</f>
        <v>0</v>
      </c>
      <c r="H389" s="273">
        <f>G389/15</f>
        <v>0</v>
      </c>
    </row>
    <row r="390" spans="1:8" s="571" customFormat="1">
      <c r="A390" s="570"/>
      <c r="B390" s="437" t="s">
        <v>633</v>
      </c>
      <c r="C390" s="14" t="s">
        <v>509</v>
      </c>
      <c r="D390" s="67"/>
      <c r="E390" s="2"/>
      <c r="F390" s="272">
        <v>3</v>
      </c>
      <c r="G390" s="273">
        <f>E390*F390</f>
        <v>0</v>
      </c>
      <c r="H390" s="273">
        <f>G390/15</f>
        <v>0</v>
      </c>
    </row>
    <row r="391" spans="1:8" s="571" customFormat="1">
      <c r="A391" s="570"/>
      <c r="B391" s="573"/>
      <c r="C391" s="574"/>
      <c r="D391" s="300" t="s">
        <v>462</v>
      </c>
      <c r="E391" s="575"/>
      <c r="F391" s="575"/>
      <c r="G391" s="463">
        <f>SUM(G386:G390)</f>
        <v>0</v>
      </c>
      <c r="H391" s="463">
        <f>SUM(H386:H390)</f>
        <v>0</v>
      </c>
    </row>
    <row r="392" spans="1:8" s="298" customFormat="1" ht="21" customHeight="1">
      <c r="A392" s="131"/>
      <c r="B392" s="132"/>
      <c r="C392" s="132"/>
      <c r="D392" s="132"/>
      <c r="E392" s="132"/>
      <c r="F392" s="133" t="s">
        <v>315</v>
      </c>
      <c r="G392" s="454">
        <f>G375+G382+G391</f>
        <v>0</v>
      </c>
      <c r="H392" s="454">
        <f>H375+H382+H391</f>
        <v>0</v>
      </c>
    </row>
    <row r="393" spans="1:8" s="546" customFormat="1" ht="15">
      <c r="A393" s="627"/>
      <c r="B393" s="627"/>
      <c r="C393" s="628"/>
      <c r="D393" s="628"/>
      <c r="E393" s="627"/>
      <c r="F393" s="628"/>
      <c r="G393" s="629"/>
      <c r="H393" s="629"/>
    </row>
    <row r="394" spans="1:8" s="546" customFormat="1" ht="15">
      <c r="A394" s="555"/>
      <c r="B394" s="555"/>
      <c r="C394" s="556"/>
      <c r="D394" s="556"/>
      <c r="E394" s="555"/>
      <c r="F394" s="556"/>
      <c r="G394" s="557"/>
      <c r="H394" s="557"/>
    </row>
    <row r="395" spans="1:8" s="76" customFormat="1" ht="21" customHeight="1">
      <c r="A395" s="79">
        <v>24</v>
      </c>
      <c r="B395" s="80" t="s">
        <v>683</v>
      </c>
      <c r="C395" s="81"/>
      <c r="D395" s="82"/>
      <c r="E395" s="83"/>
      <c r="F395" s="83"/>
      <c r="G395" s="84"/>
      <c r="H395" s="85"/>
    </row>
    <row r="396" spans="1:8" s="436" customFormat="1">
      <c r="A396" s="264"/>
      <c r="B396" s="292"/>
      <c r="C396" s="265"/>
      <c r="D396" s="235"/>
      <c r="E396" s="299" t="s">
        <v>604</v>
      </c>
      <c r="F396" s="116" t="s">
        <v>287</v>
      </c>
      <c r="G396" s="105" t="s">
        <v>584</v>
      </c>
      <c r="H396" s="105" t="s">
        <v>584</v>
      </c>
    </row>
    <row r="397" spans="1:8" s="452" customFormat="1">
      <c r="A397" s="269"/>
      <c r="B397" s="294"/>
      <c r="C397" s="270"/>
      <c r="D397" s="565"/>
      <c r="E397" s="271" t="s">
        <v>368</v>
      </c>
      <c r="F397" s="295"/>
      <c r="G397" s="111" t="s">
        <v>583</v>
      </c>
      <c r="H397" s="111" t="s">
        <v>585</v>
      </c>
    </row>
    <row r="398" spans="1:8" s="298" customFormat="1">
      <c r="A398" s="570"/>
      <c r="B398" s="437" t="s">
        <v>566</v>
      </c>
      <c r="C398" s="14" t="s">
        <v>682</v>
      </c>
      <c r="D398" s="578"/>
      <c r="E398" s="2"/>
      <c r="F398" s="272">
        <v>1</v>
      </c>
      <c r="G398" s="273">
        <f>E398*F398</f>
        <v>0</v>
      </c>
      <c r="H398" s="273">
        <f>G398/15</f>
        <v>0</v>
      </c>
    </row>
    <row r="399" spans="1:8" s="298" customFormat="1">
      <c r="A399" s="570"/>
      <c r="B399" s="437" t="s">
        <v>567</v>
      </c>
      <c r="C399" s="14" t="s">
        <v>682</v>
      </c>
      <c r="D399" s="578"/>
      <c r="E399" s="2"/>
      <c r="F399" s="272">
        <v>1</v>
      </c>
      <c r="G399" s="273">
        <f>E399*F399</f>
        <v>0</v>
      </c>
      <c r="H399" s="273">
        <f>G399/15</f>
        <v>0</v>
      </c>
    </row>
    <row r="400" spans="1:8" s="298" customFormat="1">
      <c r="A400" s="570"/>
      <c r="B400" s="437" t="s">
        <v>568</v>
      </c>
      <c r="C400" s="14" t="s">
        <v>682</v>
      </c>
      <c r="D400" s="578"/>
      <c r="E400" s="2"/>
      <c r="F400" s="272">
        <v>1</v>
      </c>
      <c r="G400" s="273">
        <f>E400*F400</f>
        <v>0</v>
      </c>
      <c r="H400" s="273">
        <f>G400/15</f>
        <v>0</v>
      </c>
    </row>
    <row r="401" spans="1:8" s="298" customFormat="1">
      <c r="A401" s="570"/>
      <c r="B401" s="437" t="s">
        <v>569</v>
      </c>
      <c r="C401" s="14" t="s">
        <v>682</v>
      </c>
      <c r="D401" s="578"/>
      <c r="E401" s="2"/>
      <c r="F401" s="272">
        <v>1</v>
      </c>
      <c r="G401" s="273">
        <f>E401*F401</f>
        <v>0</v>
      </c>
      <c r="H401" s="273">
        <f>G401/15</f>
        <v>0</v>
      </c>
    </row>
    <row r="402" spans="1:8" s="298" customFormat="1">
      <c r="A402" s="570"/>
      <c r="B402" s="437" t="s">
        <v>570</v>
      </c>
      <c r="C402" s="14" t="s">
        <v>682</v>
      </c>
      <c r="D402" s="578"/>
      <c r="E402" s="2"/>
      <c r="F402" s="272">
        <v>1</v>
      </c>
      <c r="G402" s="273">
        <f>E402*F402</f>
        <v>0</v>
      </c>
      <c r="H402" s="273">
        <f>G402/15</f>
        <v>0</v>
      </c>
    </row>
    <row r="403" spans="1:8" s="298" customFormat="1">
      <c r="A403" s="572"/>
      <c r="B403" s="129"/>
      <c r="C403" s="300"/>
      <c r="D403" s="300" t="s">
        <v>462</v>
      </c>
      <c r="E403" s="302"/>
      <c r="F403" s="302"/>
      <c r="G403" s="303">
        <f>SUM(G398:G402)</f>
        <v>0</v>
      </c>
      <c r="H403" s="303">
        <f>SUM(H398:H402)</f>
        <v>0</v>
      </c>
    </row>
    <row r="404" spans="1:8" s="546" customFormat="1" ht="15">
      <c r="A404" s="552"/>
      <c r="B404" s="552"/>
      <c r="C404" s="553"/>
      <c r="D404" s="553"/>
      <c r="E404" s="552"/>
      <c r="F404" s="553"/>
      <c r="G404" s="554"/>
      <c r="H404" s="554"/>
    </row>
    <row r="405" spans="1:8" s="546" customFormat="1" ht="15">
      <c r="A405" s="555"/>
      <c r="B405" s="555"/>
      <c r="C405" s="556"/>
      <c r="D405" s="556"/>
      <c r="E405" s="555"/>
      <c r="F405" s="556"/>
      <c r="G405" s="557"/>
      <c r="H405" s="557"/>
    </row>
    <row r="406" spans="1:8" s="76" customFormat="1" ht="21" customHeight="1">
      <c r="A406" s="79">
        <v>25</v>
      </c>
      <c r="B406" s="80" t="s">
        <v>1090</v>
      </c>
      <c r="C406" s="81"/>
      <c r="D406" s="82"/>
      <c r="E406" s="83"/>
      <c r="F406" s="83"/>
      <c r="G406" s="84"/>
      <c r="H406" s="85"/>
    </row>
    <row r="407" spans="1:8" s="436" customFormat="1">
      <c r="A407" s="264"/>
      <c r="B407" s="292"/>
      <c r="C407" s="265"/>
      <c r="D407" s="235"/>
      <c r="E407" s="299" t="s">
        <v>604</v>
      </c>
      <c r="F407" s="116" t="s">
        <v>287</v>
      </c>
      <c r="G407" s="105" t="s">
        <v>584</v>
      </c>
      <c r="H407" s="105" t="s">
        <v>584</v>
      </c>
    </row>
    <row r="408" spans="1:8" s="452" customFormat="1">
      <c r="A408" s="269"/>
      <c r="B408" s="294"/>
      <c r="C408" s="270"/>
      <c r="D408" s="565"/>
      <c r="E408" s="271" t="s">
        <v>369</v>
      </c>
      <c r="F408" s="295"/>
      <c r="G408" s="111" t="s">
        <v>583</v>
      </c>
      <c r="H408" s="111" t="s">
        <v>585</v>
      </c>
    </row>
    <row r="409" spans="1:8" s="298" customFormat="1">
      <c r="A409" s="570"/>
      <c r="B409" s="437" t="s">
        <v>566</v>
      </c>
      <c r="C409" s="14" t="s">
        <v>685</v>
      </c>
      <c r="D409" s="578"/>
      <c r="E409" s="2"/>
      <c r="F409" s="273">
        <v>0.33</v>
      </c>
      <c r="G409" s="273">
        <f>E409*F409</f>
        <v>0</v>
      </c>
      <c r="H409" s="273">
        <f>G409/15</f>
        <v>0</v>
      </c>
    </row>
    <row r="410" spans="1:8" s="298" customFormat="1">
      <c r="A410" s="570"/>
      <c r="B410" s="437" t="s">
        <v>567</v>
      </c>
      <c r="C410" s="14" t="s">
        <v>685</v>
      </c>
      <c r="D410" s="578"/>
      <c r="E410" s="2"/>
      <c r="F410" s="273">
        <v>0.33</v>
      </c>
      <c r="G410" s="273">
        <f>E410*F410</f>
        <v>0</v>
      </c>
      <c r="H410" s="273">
        <f>G410/15</f>
        <v>0</v>
      </c>
    </row>
    <row r="411" spans="1:8" s="298" customFormat="1">
      <c r="A411" s="570"/>
      <c r="B411" s="437" t="s">
        <v>568</v>
      </c>
      <c r="C411" s="14" t="s">
        <v>685</v>
      </c>
      <c r="D411" s="578"/>
      <c r="E411" s="2"/>
      <c r="F411" s="273">
        <v>0.33</v>
      </c>
      <c r="G411" s="273">
        <f>E411*F411</f>
        <v>0</v>
      </c>
      <c r="H411" s="273">
        <f>G411/15</f>
        <v>0</v>
      </c>
    </row>
    <row r="412" spans="1:8" s="298" customFormat="1">
      <c r="A412" s="570"/>
      <c r="B412" s="437" t="s">
        <v>569</v>
      </c>
      <c r="C412" s="14" t="s">
        <v>685</v>
      </c>
      <c r="D412" s="578"/>
      <c r="E412" s="2"/>
      <c r="F412" s="273">
        <v>0.33</v>
      </c>
      <c r="G412" s="273">
        <f>E412*F412</f>
        <v>0</v>
      </c>
      <c r="H412" s="273">
        <f>G412/15</f>
        <v>0</v>
      </c>
    </row>
    <row r="413" spans="1:8" s="298" customFormat="1">
      <c r="A413" s="570"/>
      <c r="B413" s="437" t="s">
        <v>570</v>
      </c>
      <c r="C413" s="14" t="s">
        <v>685</v>
      </c>
      <c r="D413" s="578"/>
      <c r="E413" s="2"/>
      <c r="F413" s="273">
        <v>0.33</v>
      </c>
      <c r="G413" s="273">
        <f>E413*F413</f>
        <v>0</v>
      </c>
      <c r="H413" s="273">
        <f>G413/15</f>
        <v>0</v>
      </c>
    </row>
    <row r="414" spans="1:8" s="298" customFormat="1">
      <c r="A414" s="572"/>
      <c r="B414" s="129"/>
      <c r="C414" s="300"/>
      <c r="D414" s="300" t="s">
        <v>462</v>
      </c>
      <c r="E414" s="302"/>
      <c r="F414" s="302"/>
      <c r="G414" s="303">
        <f>SUM(G409:G413)</f>
        <v>0</v>
      </c>
      <c r="H414" s="303">
        <f>SUM(H409:H413)</f>
        <v>0</v>
      </c>
    </row>
    <row r="415" spans="1:8" s="546" customFormat="1" ht="15">
      <c r="A415" s="552"/>
      <c r="B415" s="552"/>
      <c r="C415" s="553"/>
      <c r="D415" s="553"/>
      <c r="E415" s="552"/>
      <c r="F415" s="553"/>
      <c r="G415" s="554"/>
      <c r="H415" s="554"/>
    </row>
    <row r="416" spans="1:8" s="546" customFormat="1" ht="15">
      <c r="A416" s="555"/>
      <c r="B416" s="555"/>
      <c r="C416" s="556"/>
      <c r="D416" s="556"/>
      <c r="E416" s="555"/>
      <c r="F416" s="556"/>
      <c r="G416" s="557"/>
      <c r="H416" s="557"/>
    </row>
    <row r="417" spans="1:8" s="76" customFormat="1" ht="21" customHeight="1">
      <c r="A417" s="79">
        <v>26</v>
      </c>
      <c r="B417" s="80" t="s">
        <v>684</v>
      </c>
      <c r="C417" s="81"/>
      <c r="D417" s="82"/>
      <c r="E417" s="83"/>
      <c r="F417" s="83"/>
      <c r="G417" s="84"/>
      <c r="H417" s="85"/>
    </row>
    <row r="418" spans="1:8" s="436" customFormat="1">
      <c r="A418" s="264"/>
      <c r="B418" s="292"/>
      <c r="C418" s="265"/>
      <c r="D418" s="235"/>
      <c r="E418" s="299" t="s">
        <v>604</v>
      </c>
      <c r="F418" s="116" t="s">
        <v>287</v>
      </c>
      <c r="G418" s="105" t="s">
        <v>584</v>
      </c>
      <c r="H418" s="105" t="s">
        <v>584</v>
      </c>
    </row>
    <row r="419" spans="1:8" s="452" customFormat="1">
      <c r="A419" s="269"/>
      <c r="B419" s="294"/>
      <c r="C419" s="270"/>
      <c r="D419" s="565"/>
      <c r="E419" s="271" t="s">
        <v>368</v>
      </c>
      <c r="F419" s="295"/>
      <c r="G419" s="111" t="s">
        <v>583</v>
      </c>
      <c r="H419" s="111" t="s">
        <v>585</v>
      </c>
    </row>
    <row r="420" spans="1:8" s="298" customFormat="1">
      <c r="A420" s="11"/>
      <c r="B420" s="437" t="s">
        <v>566</v>
      </c>
      <c r="C420" s="14" t="s">
        <v>686</v>
      </c>
      <c r="D420" s="578"/>
      <c r="E420" s="2"/>
      <c r="F420" s="272">
        <v>1</v>
      </c>
      <c r="G420" s="273">
        <f>E420*F420</f>
        <v>0</v>
      </c>
      <c r="H420" s="273">
        <f>G420/15</f>
        <v>0</v>
      </c>
    </row>
    <row r="421" spans="1:8" s="298" customFormat="1">
      <c r="A421" s="11"/>
      <c r="B421" s="437" t="s">
        <v>567</v>
      </c>
      <c r="C421" s="14" t="s">
        <v>686</v>
      </c>
      <c r="D421" s="578"/>
      <c r="E421" s="2"/>
      <c r="F421" s="272">
        <v>1</v>
      </c>
      <c r="G421" s="273">
        <f>E421*F421</f>
        <v>0</v>
      </c>
      <c r="H421" s="273">
        <f>G421/15</f>
        <v>0</v>
      </c>
    </row>
    <row r="422" spans="1:8" s="298" customFormat="1">
      <c r="A422" s="11"/>
      <c r="B422" s="437" t="s">
        <v>568</v>
      </c>
      <c r="C422" s="14" t="s">
        <v>686</v>
      </c>
      <c r="D422" s="578"/>
      <c r="E422" s="2"/>
      <c r="F422" s="272">
        <v>1</v>
      </c>
      <c r="G422" s="273">
        <f>E422*F422</f>
        <v>0</v>
      </c>
      <c r="H422" s="273">
        <f>G422/15</f>
        <v>0</v>
      </c>
    </row>
    <row r="423" spans="1:8" s="298" customFormat="1">
      <c r="A423" s="11"/>
      <c r="B423" s="437" t="s">
        <v>569</v>
      </c>
      <c r="C423" s="14" t="s">
        <v>686</v>
      </c>
      <c r="D423" s="578"/>
      <c r="E423" s="2"/>
      <c r="F423" s="272">
        <v>1</v>
      </c>
      <c r="G423" s="273">
        <f>E423*F423</f>
        <v>0</v>
      </c>
      <c r="H423" s="273">
        <f>G423/15</f>
        <v>0</v>
      </c>
    </row>
    <row r="424" spans="1:8" s="298" customFormat="1">
      <c r="A424" s="11"/>
      <c r="B424" s="437" t="s">
        <v>570</v>
      </c>
      <c r="C424" s="14" t="s">
        <v>686</v>
      </c>
      <c r="D424" s="578"/>
      <c r="E424" s="2"/>
      <c r="F424" s="272">
        <v>1</v>
      </c>
      <c r="G424" s="273">
        <f>E424*F424</f>
        <v>0</v>
      </c>
      <c r="H424" s="273">
        <f>G424/15</f>
        <v>0</v>
      </c>
    </row>
    <row r="425" spans="1:8" s="298" customFormat="1">
      <c r="A425" s="305"/>
      <c r="B425" s="129"/>
      <c r="C425" s="300"/>
      <c r="D425" s="300" t="s">
        <v>462</v>
      </c>
      <c r="E425" s="302"/>
      <c r="F425" s="302"/>
      <c r="G425" s="303">
        <f>SUM(G420:G424)</f>
        <v>0</v>
      </c>
      <c r="H425" s="303">
        <f>SUM(H420:H424)</f>
        <v>0</v>
      </c>
    </row>
  </sheetData>
  <sheetProtection password="C924" sheet="1"/>
  <mergeCells count="3">
    <mergeCell ref="B343:H343"/>
    <mergeCell ref="B354:H354"/>
    <mergeCell ref="B57:H57"/>
  </mergeCells>
  <phoneticPr fontId="42" type="noConversion"/>
  <pageMargins left="0.74803149606299213" right="0.19685039370078741" top="0.59055118110236227" bottom="0.39370078740157483" header="0.19685039370078741" footer="0.19685039370078741"/>
  <pageSetup paperSize="9" orientation="landscape" r:id="rId1"/>
  <headerFooter alignWithMargins="0">
    <oddHeader>&amp;Rส่วนที่ 3 การคำนวณภาระงานบริการวิชาการ  หน้าที่ &amp;P/&amp;N</oddHeader>
    <oddFooter>&amp;Lส่วนที่ 3 การคำนวณภาระงานบริการวิชาการ&amp;Cหน้าที่ &amp;P/&amp;N</oddFooter>
  </headerFooter>
  <rowBreaks count="6" manualBreakCount="6">
    <brk id="35" max="16383" man="1"/>
    <brk id="67" max="16383" man="1"/>
    <brk id="101" max="16383" man="1"/>
    <brk id="215" max="16383" man="1"/>
    <brk id="247" max="16383" man="1"/>
    <brk id="35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29"/>
  </sheetPr>
  <dimension ref="A2:H57"/>
  <sheetViews>
    <sheetView topLeftCell="A37" workbookViewId="0">
      <selection activeCell="C63" sqref="C63"/>
    </sheetView>
  </sheetViews>
  <sheetFormatPr defaultRowHeight="12.75"/>
  <cols>
    <col min="1" max="1" width="5" style="533" customWidth="1"/>
    <col min="2" max="2" width="11.85546875" style="533" customWidth="1"/>
    <col min="3" max="3" width="39.7109375" style="533" customWidth="1"/>
    <col min="4" max="4" width="11.85546875" style="533" customWidth="1"/>
    <col min="5" max="5" width="13.7109375" style="533" customWidth="1"/>
    <col min="6" max="6" width="14.42578125" style="533" customWidth="1"/>
    <col min="7" max="7" width="13.85546875" style="533" customWidth="1"/>
    <col min="8" max="16384" width="9.140625" style="533"/>
  </cols>
  <sheetData>
    <row r="2" spans="1:8" s="76" customFormat="1" ht="18">
      <c r="B2" s="75" t="s">
        <v>689</v>
      </c>
      <c r="D2" s="75"/>
      <c r="E2" s="78"/>
      <c r="F2" s="78"/>
    </row>
    <row r="3" spans="1:8" s="76" customFormat="1" ht="14.25">
      <c r="E3" s="78"/>
      <c r="F3" s="78"/>
    </row>
    <row r="4" spans="1:8" s="76" customFormat="1" ht="40.5" customHeight="1">
      <c r="B4" s="1391" t="s">
        <v>319</v>
      </c>
      <c r="C4" s="1391"/>
      <c r="D4" s="1391"/>
      <c r="E4" s="1391"/>
      <c r="F4" s="1391"/>
      <c r="G4" s="1391"/>
      <c r="H4" s="580"/>
    </row>
    <row r="5" spans="1:8" s="76" customFormat="1" ht="15.75">
      <c r="B5" s="581"/>
      <c r="D5" s="436"/>
      <c r="E5" s="78"/>
      <c r="F5" s="78"/>
      <c r="H5" s="580"/>
    </row>
    <row r="6" spans="1:8" s="436" customFormat="1">
      <c r="A6" s="268" t="s">
        <v>468</v>
      </c>
      <c r="B6" s="264"/>
      <c r="C6" s="265"/>
      <c r="D6" s="267" t="s">
        <v>643</v>
      </c>
      <c r="E6" s="116" t="s">
        <v>287</v>
      </c>
      <c r="F6" s="105" t="s">
        <v>584</v>
      </c>
      <c r="G6" s="105" t="s">
        <v>584</v>
      </c>
    </row>
    <row r="7" spans="1:8" s="452" customFormat="1">
      <c r="A7" s="582"/>
      <c r="B7" s="269"/>
      <c r="C7" s="109"/>
      <c r="D7" s="289"/>
      <c r="E7" s="564"/>
      <c r="F7" s="111" t="s">
        <v>583</v>
      </c>
      <c r="G7" s="111" t="s">
        <v>585</v>
      </c>
    </row>
    <row r="8" spans="1:8" s="298" customFormat="1" ht="15.75">
      <c r="A8" s="583">
        <v>1</v>
      </c>
      <c r="B8" s="584" t="s">
        <v>696</v>
      </c>
      <c r="D8" s="114"/>
      <c r="E8" s="460"/>
      <c r="F8" s="460"/>
      <c r="G8" s="460"/>
    </row>
    <row r="9" spans="1:8" s="298" customFormat="1">
      <c r="A9" s="11"/>
      <c r="B9" s="437" t="s">
        <v>629</v>
      </c>
      <c r="C9" s="14" t="s">
        <v>1298</v>
      </c>
      <c r="D9" s="2">
        <v>1</v>
      </c>
      <c r="E9" s="272">
        <v>10</v>
      </c>
      <c r="F9" s="273">
        <f>D9*E9</f>
        <v>10</v>
      </c>
      <c r="G9" s="273">
        <f t="shared" ref="G9:G18" si="0">F9/15</f>
        <v>0.66666666666666663</v>
      </c>
    </row>
    <row r="10" spans="1:8" s="298" customFormat="1">
      <c r="A10" s="11"/>
      <c r="B10" s="437" t="s">
        <v>630</v>
      </c>
      <c r="C10" s="14" t="s">
        <v>1299</v>
      </c>
      <c r="D10" s="2">
        <v>1</v>
      </c>
      <c r="E10" s="272">
        <v>10</v>
      </c>
      <c r="F10" s="273">
        <f t="shared" ref="F10:F18" si="1">D10*E10</f>
        <v>10</v>
      </c>
      <c r="G10" s="273">
        <f t="shared" si="0"/>
        <v>0.66666666666666663</v>
      </c>
    </row>
    <row r="11" spans="1:8" s="298" customFormat="1">
      <c r="A11" s="11"/>
      <c r="B11" s="437" t="s">
        <v>631</v>
      </c>
      <c r="C11" s="14" t="s">
        <v>509</v>
      </c>
      <c r="D11" s="2"/>
      <c r="E11" s="272">
        <v>10</v>
      </c>
      <c r="F11" s="273">
        <f t="shared" si="1"/>
        <v>0</v>
      </c>
      <c r="G11" s="273">
        <f t="shared" si="0"/>
        <v>0</v>
      </c>
    </row>
    <row r="12" spans="1:8" s="298" customFormat="1">
      <c r="A12" s="11"/>
      <c r="B12" s="437" t="s">
        <v>632</v>
      </c>
      <c r="C12" s="14" t="s">
        <v>509</v>
      </c>
      <c r="D12" s="2"/>
      <c r="E12" s="272">
        <v>10</v>
      </c>
      <c r="F12" s="273">
        <f t="shared" si="1"/>
        <v>0</v>
      </c>
      <c r="G12" s="273">
        <f t="shared" si="0"/>
        <v>0</v>
      </c>
    </row>
    <row r="13" spans="1:8" s="298" customFormat="1">
      <c r="A13" s="11"/>
      <c r="B13" s="437" t="s">
        <v>633</v>
      </c>
      <c r="C13" s="14" t="s">
        <v>509</v>
      </c>
      <c r="D13" s="2"/>
      <c r="E13" s="272">
        <v>10</v>
      </c>
      <c r="F13" s="273">
        <f t="shared" si="1"/>
        <v>0</v>
      </c>
      <c r="G13" s="273">
        <f t="shared" si="0"/>
        <v>0</v>
      </c>
    </row>
    <row r="14" spans="1:8" s="298" customFormat="1">
      <c r="A14" s="11"/>
      <c r="B14" s="437" t="s">
        <v>690</v>
      </c>
      <c r="C14" s="14" t="s">
        <v>509</v>
      </c>
      <c r="D14" s="2"/>
      <c r="E14" s="272">
        <v>10</v>
      </c>
      <c r="F14" s="273">
        <f t="shared" si="1"/>
        <v>0</v>
      </c>
      <c r="G14" s="273">
        <f t="shared" si="0"/>
        <v>0</v>
      </c>
    </row>
    <row r="15" spans="1:8" s="298" customFormat="1">
      <c r="A15" s="11"/>
      <c r="B15" s="437" t="s">
        <v>691</v>
      </c>
      <c r="C15" s="14" t="s">
        <v>509</v>
      </c>
      <c r="D15" s="2"/>
      <c r="E15" s="272">
        <v>10</v>
      </c>
      <c r="F15" s="273">
        <f t="shared" si="1"/>
        <v>0</v>
      </c>
      <c r="G15" s="273">
        <f t="shared" si="0"/>
        <v>0</v>
      </c>
    </row>
    <row r="16" spans="1:8" s="298" customFormat="1">
      <c r="A16" s="11"/>
      <c r="B16" s="437" t="s">
        <v>692</v>
      </c>
      <c r="C16" s="14" t="s">
        <v>509</v>
      </c>
      <c r="D16" s="2"/>
      <c r="E16" s="272">
        <v>10</v>
      </c>
      <c r="F16" s="273">
        <f t="shared" si="1"/>
        <v>0</v>
      </c>
      <c r="G16" s="273">
        <f t="shared" si="0"/>
        <v>0</v>
      </c>
    </row>
    <row r="17" spans="1:7" s="298" customFormat="1">
      <c r="A17" s="11"/>
      <c r="B17" s="437" t="s">
        <v>693</v>
      </c>
      <c r="C17" s="14" t="s">
        <v>509</v>
      </c>
      <c r="D17" s="2"/>
      <c r="E17" s="272">
        <v>10</v>
      </c>
      <c r="F17" s="273">
        <f t="shared" si="1"/>
        <v>0</v>
      </c>
      <c r="G17" s="273">
        <f t="shared" si="0"/>
        <v>0</v>
      </c>
    </row>
    <row r="18" spans="1:7" s="298" customFormat="1">
      <c r="A18" s="11"/>
      <c r="B18" s="437" t="s">
        <v>694</v>
      </c>
      <c r="C18" s="14" t="s">
        <v>509</v>
      </c>
      <c r="D18" s="2"/>
      <c r="E18" s="272">
        <v>10</v>
      </c>
      <c r="F18" s="273">
        <f t="shared" si="1"/>
        <v>0</v>
      </c>
      <c r="G18" s="273">
        <f t="shared" si="0"/>
        <v>0</v>
      </c>
    </row>
    <row r="19" spans="1:7" s="298" customFormat="1">
      <c r="A19" s="305"/>
      <c r="B19" s="146"/>
      <c r="C19" s="300" t="s">
        <v>462</v>
      </c>
      <c r="D19" s="534"/>
      <c r="E19" s="302"/>
      <c r="F19" s="303">
        <f>SUM(F9:F18)</f>
        <v>20</v>
      </c>
      <c r="G19" s="303">
        <f>SUM(G9:G18)</f>
        <v>1.3333333333333333</v>
      </c>
    </row>
    <row r="20" spans="1:7" s="298" customFormat="1" ht="15.75">
      <c r="A20" s="583">
        <v>2</v>
      </c>
      <c r="B20" s="585" t="s">
        <v>695</v>
      </c>
      <c r="D20" s="117"/>
      <c r="E20" s="460"/>
      <c r="F20" s="460"/>
      <c r="G20" s="460"/>
    </row>
    <row r="21" spans="1:7" s="298" customFormat="1">
      <c r="A21" s="11"/>
      <c r="B21" s="437" t="s">
        <v>629</v>
      </c>
      <c r="C21" s="437" t="s">
        <v>318</v>
      </c>
      <c r="D21" s="2">
        <v>15</v>
      </c>
      <c r="E21" s="272">
        <v>1</v>
      </c>
      <c r="F21" s="273">
        <f>IF(D21=0,0,IF(D21&gt;=15,15,IF(D21&lt;=14,D21)))</f>
        <v>15</v>
      </c>
      <c r="G21" s="273">
        <f t="shared" ref="G21:G30" si="2">F21/15</f>
        <v>1</v>
      </c>
    </row>
    <row r="22" spans="1:7" s="298" customFormat="1">
      <c r="A22" s="11"/>
      <c r="B22" s="437" t="s">
        <v>630</v>
      </c>
      <c r="C22" s="14" t="s">
        <v>509</v>
      </c>
      <c r="D22" s="2"/>
      <c r="E22" s="272">
        <v>1</v>
      </c>
      <c r="F22" s="273">
        <f>D22*E22</f>
        <v>0</v>
      </c>
      <c r="G22" s="273">
        <f t="shared" si="2"/>
        <v>0</v>
      </c>
    </row>
    <row r="23" spans="1:7" s="298" customFormat="1">
      <c r="A23" s="11"/>
      <c r="B23" s="437" t="s">
        <v>631</v>
      </c>
      <c r="C23" s="14" t="s">
        <v>509</v>
      </c>
      <c r="D23" s="2"/>
      <c r="E23" s="272">
        <v>1</v>
      </c>
      <c r="F23" s="273">
        <f t="shared" ref="F23:F30" si="3">D23*E23</f>
        <v>0</v>
      </c>
      <c r="G23" s="273">
        <f t="shared" si="2"/>
        <v>0</v>
      </c>
    </row>
    <row r="24" spans="1:7" s="298" customFormat="1">
      <c r="A24" s="11"/>
      <c r="B24" s="437" t="s">
        <v>632</v>
      </c>
      <c r="C24" s="14" t="s">
        <v>509</v>
      </c>
      <c r="D24" s="2"/>
      <c r="E24" s="272">
        <v>1</v>
      </c>
      <c r="F24" s="273">
        <f t="shared" si="3"/>
        <v>0</v>
      </c>
      <c r="G24" s="273">
        <f t="shared" si="2"/>
        <v>0</v>
      </c>
    </row>
    <row r="25" spans="1:7" s="298" customFormat="1">
      <c r="A25" s="11"/>
      <c r="B25" s="437" t="s">
        <v>633</v>
      </c>
      <c r="C25" s="14" t="s">
        <v>509</v>
      </c>
      <c r="D25" s="2"/>
      <c r="E25" s="272">
        <v>1</v>
      </c>
      <c r="F25" s="273">
        <f t="shared" si="3"/>
        <v>0</v>
      </c>
      <c r="G25" s="273">
        <f t="shared" si="2"/>
        <v>0</v>
      </c>
    </row>
    <row r="26" spans="1:7" s="298" customFormat="1">
      <c r="A26" s="11"/>
      <c r="B26" s="437" t="s">
        <v>690</v>
      </c>
      <c r="C26" s="14" t="s">
        <v>509</v>
      </c>
      <c r="D26" s="2"/>
      <c r="E26" s="272">
        <v>1</v>
      </c>
      <c r="F26" s="273">
        <f t="shared" si="3"/>
        <v>0</v>
      </c>
      <c r="G26" s="273">
        <f t="shared" si="2"/>
        <v>0</v>
      </c>
    </row>
    <row r="27" spans="1:7" s="298" customFormat="1">
      <c r="A27" s="11"/>
      <c r="B27" s="437" t="s">
        <v>691</v>
      </c>
      <c r="C27" s="14" t="s">
        <v>509</v>
      </c>
      <c r="D27" s="2"/>
      <c r="E27" s="272">
        <v>1</v>
      </c>
      <c r="F27" s="273">
        <f t="shared" si="3"/>
        <v>0</v>
      </c>
      <c r="G27" s="273">
        <f t="shared" si="2"/>
        <v>0</v>
      </c>
    </row>
    <row r="28" spans="1:7" s="298" customFormat="1">
      <c r="A28" s="11"/>
      <c r="B28" s="437" t="s">
        <v>692</v>
      </c>
      <c r="C28" s="14" t="s">
        <v>509</v>
      </c>
      <c r="D28" s="2"/>
      <c r="E28" s="272">
        <v>1</v>
      </c>
      <c r="F28" s="273">
        <f t="shared" si="3"/>
        <v>0</v>
      </c>
      <c r="G28" s="273">
        <f t="shared" si="2"/>
        <v>0</v>
      </c>
    </row>
    <row r="29" spans="1:7" s="298" customFormat="1">
      <c r="A29" s="11"/>
      <c r="B29" s="437" t="s">
        <v>693</v>
      </c>
      <c r="C29" s="14" t="s">
        <v>509</v>
      </c>
      <c r="D29" s="2"/>
      <c r="E29" s="272">
        <v>1</v>
      </c>
      <c r="F29" s="273">
        <f t="shared" si="3"/>
        <v>0</v>
      </c>
      <c r="G29" s="273">
        <f t="shared" si="2"/>
        <v>0</v>
      </c>
    </row>
    <row r="30" spans="1:7" s="298" customFormat="1">
      <c r="A30" s="11"/>
      <c r="B30" s="437" t="s">
        <v>694</v>
      </c>
      <c r="C30" s="14" t="s">
        <v>509</v>
      </c>
      <c r="D30" s="2"/>
      <c r="E30" s="272">
        <v>1</v>
      </c>
      <c r="F30" s="273">
        <f t="shared" si="3"/>
        <v>0</v>
      </c>
      <c r="G30" s="273">
        <f t="shared" si="2"/>
        <v>0</v>
      </c>
    </row>
    <row r="31" spans="1:7" s="298" customFormat="1">
      <c r="A31" s="305"/>
      <c r="B31" s="146"/>
      <c r="C31" s="300" t="s">
        <v>462</v>
      </c>
      <c r="D31" s="534"/>
      <c r="E31" s="302"/>
      <c r="F31" s="303">
        <f>SUM(F21:F30)</f>
        <v>15</v>
      </c>
      <c r="G31" s="303">
        <f>SUM(G21:G30)</f>
        <v>1</v>
      </c>
    </row>
    <row r="32" spans="1:7" s="298" customFormat="1" ht="15.75">
      <c r="A32" s="583">
        <v>3</v>
      </c>
      <c r="B32" s="585" t="s">
        <v>330</v>
      </c>
      <c r="D32" s="117"/>
      <c r="E32" s="460"/>
      <c r="F32" s="460"/>
      <c r="G32" s="460"/>
    </row>
    <row r="33" spans="1:7" s="298" customFormat="1">
      <c r="A33" s="11"/>
      <c r="B33" s="437" t="s">
        <v>320</v>
      </c>
      <c r="C33" s="14" t="s">
        <v>1300</v>
      </c>
      <c r="D33" s="2">
        <v>20</v>
      </c>
      <c r="E33" s="272">
        <v>1</v>
      </c>
      <c r="F33" s="273">
        <f>IF(D33=0,0,IF(D33&gt;=15,15,IF(D33&lt;=14,D33)))</f>
        <v>15</v>
      </c>
      <c r="G33" s="273">
        <f t="shared" ref="G33:G42" si="4">F33/15</f>
        <v>1</v>
      </c>
    </row>
    <row r="34" spans="1:7" s="298" customFormat="1">
      <c r="A34" s="11"/>
      <c r="B34" s="437" t="s">
        <v>321</v>
      </c>
      <c r="C34" s="1212" t="s">
        <v>1301</v>
      </c>
      <c r="D34" s="2">
        <v>1</v>
      </c>
      <c r="E34" s="272">
        <v>1</v>
      </c>
      <c r="F34" s="273">
        <f>IF(D34=0,0,IF(D34&gt;=15,15,IF(D34&lt;=14,D34)))</f>
        <v>1</v>
      </c>
      <c r="G34" s="273">
        <f t="shared" si="4"/>
        <v>6.6666666666666666E-2</v>
      </c>
    </row>
    <row r="35" spans="1:7" s="298" customFormat="1">
      <c r="A35" s="11"/>
      <c r="B35" s="437" t="s">
        <v>322</v>
      </c>
      <c r="C35" s="14" t="s">
        <v>1305</v>
      </c>
      <c r="D35" s="2">
        <v>1</v>
      </c>
      <c r="E35" s="272">
        <v>1</v>
      </c>
      <c r="F35" s="273">
        <f t="shared" ref="F35:F41" si="5">IF(D35=0,0,IF(D35&gt;=15,15,IF(D35&lt;=14,D35)))</f>
        <v>1</v>
      </c>
      <c r="G35" s="273">
        <f t="shared" si="4"/>
        <v>6.6666666666666666E-2</v>
      </c>
    </row>
    <row r="36" spans="1:7" s="298" customFormat="1">
      <c r="A36" s="11"/>
      <c r="B36" s="437" t="s">
        <v>323</v>
      </c>
      <c r="C36" s="14" t="s">
        <v>1302</v>
      </c>
      <c r="D36" s="2">
        <v>1</v>
      </c>
      <c r="E36" s="272">
        <v>1</v>
      </c>
      <c r="F36" s="273">
        <f t="shared" si="5"/>
        <v>1</v>
      </c>
      <c r="G36" s="273">
        <f t="shared" si="4"/>
        <v>6.6666666666666666E-2</v>
      </c>
    </row>
    <row r="37" spans="1:7" s="298" customFormat="1">
      <c r="A37" s="11"/>
      <c r="B37" s="437" t="s">
        <v>324</v>
      </c>
      <c r="C37" s="14" t="s">
        <v>1303</v>
      </c>
      <c r="D37" s="2">
        <v>1</v>
      </c>
      <c r="E37" s="272">
        <v>1</v>
      </c>
      <c r="F37" s="273">
        <f t="shared" si="5"/>
        <v>1</v>
      </c>
      <c r="G37" s="273">
        <f t="shared" si="4"/>
        <v>6.6666666666666666E-2</v>
      </c>
    </row>
    <row r="38" spans="1:7" s="298" customFormat="1">
      <c r="A38" s="11"/>
      <c r="B38" s="437" t="s">
        <v>325</v>
      </c>
      <c r="C38" s="14" t="s">
        <v>1304</v>
      </c>
      <c r="D38" s="2">
        <v>2</v>
      </c>
      <c r="E38" s="272">
        <v>1</v>
      </c>
      <c r="F38" s="273">
        <f t="shared" si="5"/>
        <v>2</v>
      </c>
      <c r="G38" s="273">
        <f t="shared" si="4"/>
        <v>0.13333333333333333</v>
      </c>
    </row>
    <row r="39" spans="1:7" s="298" customFormat="1">
      <c r="A39" s="11"/>
      <c r="B39" s="437" t="s">
        <v>326</v>
      </c>
      <c r="C39" s="14" t="s">
        <v>1306</v>
      </c>
      <c r="D39" s="2">
        <v>1</v>
      </c>
      <c r="E39" s="272">
        <v>1</v>
      </c>
      <c r="F39" s="273">
        <f t="shared" si="5"/>
        <v>1</v>
      </c>
      <c r="G39" s="273">
        <f t="shared" si="4"/>
        <v>6.6666666666666666E-2</v>
      </c>
    </row>
    <row r="40" spans="1:7" s="298" customFormat="1">
      <c r="A40" s="11"/>
      <c r="B40" s="437" t="s">
        <v>327</v>
      </c>
      <c r="C40" s="14" t="s">
        <v>1307</v>
      </c>
      <c r="D40" s="2">
        <v>2</v>
      </c>
      <c r="E40" s="272">
        <v>1</v>
      </c>
      <c r="F40" s="273">
        <f t="shared" si="5"/>
        <v>2</v>
      </c>
      <c r="G40" s="273">
        <f t="shared" si="4"/>
        <v>0.13333333333333333</v>
      </c>
    </row>
    <row r="41" spans="1:7" s="298" customFormat="1">
      <c r="A41" s="11"/>
      <c r="B41" s="437" t="s">
        <v>328</v>
      </c>
      <c r="C41" s="14" t="s">
        <v>370</v>
      </c>
      <c r="D41" s="2"/>
      <c r="E41" s="272">
        <v>1</v>
      </c>
      <c r="F41" s="273">
        <f t="shared" si="5"/>
        <v>0</v>
      </c>
      <c r="G41" s="273">
        <f t="shared" si="4"/>
        <v>0</v>
      </c>
    </row>
    <row r="42" spans="1:7" s="298" customFormat="1">
      <c r="A42" s="11"/>
      <c r="B42" s="437" t="s">
        <v>329</v>
      </c>
      <c r="C42" s="14" t="s">
        <v>370</v>
      </c>
      <c r="D42" s="2"/>
      <c r="E42" s="272">
        <v>1</v>
      </c>
      <c r="F42" s="273">
        <f>IF(D42=0,0,IF(D42&gt;=15,15,IF(D42&lt;=14,D42)))</f>
        <v>0</v>
      </c>
      <c r="G42" s="273">
        <f t="shared" si="4"/>
        <v>0</v>
      </c>
    </row>
    <row r="43" spans="1:7" s="298" customFormat="1">
      <c r="A43" s="305"/>
      <c r="B43" s="146"/>
      <c r="C43" s="300" t="s">
        <v>462</v>
      </c>
      <c r="D43" s="534"/>
      <c r="E43" s="302"/>
      <c r="F43" s="303">
        <f>SUM(F33:F42)</f>
        <v>24</v>
      </c>
      <c r="G43" s="303">
        <f>SUM(G33:G42)</f>
        <v>1.5999999999999999</v>
      </c>
    </row>
    <row r="44" spans="1:7" s="436" customFormat="1">
      <c r="A44" s="268" t="s">
        <v>468</v>
      </c>
      <c r="B44" s="264"/>
      <c r="C44" s="265"/>
      <c r="D44" s="267" t="s">
        <v>643</v>
      </c>
      <c r="E44" s="116" t="s">
        <v>287</v>
      </c>
      <c r="F44" s="105" t="s">
        <v>584</v>
      </c>
      <c r="G44" s="105" t="s">
        <v>584</v>
      </c>
    </row>
    <row r="45" spans="1:7" s="452" customFormat="1">
      <c r="A45" s="582"/>
      <c r="B45" s="269"/>
      <c r="C45" s="109"/>
      <c r="D45" s="271"/>
      <c r="E45" s="564"/>
      <c r="F45" s="111" t="s">
        <v>583</v>
      </c>
      <c r="G45" s="111" t="s">
        <v>585</v>
      </c>
    </row>
    <row r="46" spans="1:7" s="298" customFormat="1" ht="15.75">
      <c r="A46" s="583">
        <v>4</v>
      </c>
      <c r="B46" s="585" t="s">
        <v>1087</v>
      </c>
      <c r="D46" s="117"/>
      <c r="E46" s="460"/>
      <c r="F46" s="460"/>
      <c r="G46" s="460"/>
    </row>
    <row r="47" spans="1:7" s="298" customFormat="1">
      <c r="A47" s="11"/>
      <c r="B47" s="437" t="s">
        <v>320</v>
      </c>
      <c r="C47" s="14" t="s">
        <v>370</v>
      </c>
      <c r="D47" s="2"/>
      <c r="E47" s="272">
        <v>10</v>
      </c>
      <c r="F47" s="273">
        <f>D47*E47</f>
        <v>0</v>
      </c>
      <c r="G47" s="273">
        <f>F47/15</f>
        <v>0</v>
      </c>
    </row>
    <row r="48" spans="1:7" s="298" customFormat="1">
      <c r="A48" s="11"/>
      <c r="B48" s="437" t="s">
        <v>321</v>
      </c>
      <c r="C48" s="14" t="s">
        <v>370</v>
      </c>
      <c r="D48" s="2"/>
      <c r="E48" s="272">
        <v>10</v>
      </c>
      <c r="F48" s="273">
        <f t="shared" ref="F48:F56" si="6">D48*E48</f>
        <v>0</v>
      </c>
      <c r="G48" s="273">
        <f t="shared" ref="G48:G56" si="7">F48/15</f>
        <v>0</v>
      </c>
    </row>
    <row r="49" spans="1:7" s="298" customFormat="1">
      <c r="A49" s="11"/>
      <c r="B49" s="437" t="s">
        <v>322</v>
      </c>
      <c r="C49" s="14" t="s">
        <v>370</v>
      </c>
      <c r="D49" s="2"/>
      <c r="E49" s="272">
        <v>10</v>
      </c>
      <c r="F49" s="273">
        <f t="shared" si="6"/>
        <v>0</v>
      </c>
      <c r="G49" s="273">
        <f t="shared" si="7"/>
        <v>0</v>
      </c>
    </row>
    <row r="50" spans="1:7" s="298" customFormat="1">
      <c r="A50" s="11"/>
      <c r="B50" s="437" t="s">
        <v>323</v>
      </c>
      <c r="C50" s="14" t="s">
        <v>370</v>
      </c>
      <c r="D50" s="2"/>
      <c r="E50" s="272">
        <v>10</v>
      </c>
      <c r="F50" s="273">
        <f t="shared" si="6"/>
        <v>0</v>
      </c>
      <c r="G50" s="273">
        <f t="shared" si="7"/>
        <v>0</v>
      </c>
    </row>
    <row r="51" spans="1:7" s="298" customFormat="1">
      <c r="A51" s="11"/>
      <c r="B51" s="437" t="s">
        <v>324</v>
      </c>
      <c r="C51" s="14" t="s">
        <v>370</v>
      </c>
      <c r="D51" s="2"/>
      <c r="E51" s="272">
        <v>10</v>
      </c>
      <c r="F51" s="273">
        <f t="shared" si="6"/>
        <v>0</v>
      </c>
      <c r="G51" s="273">
        <f t="shared" si="7"/>
        <v>0</v>
      </c>
    </row>
    <row r="52" spans="1:7" s="298" customFormat="1">
      <c r="A52" s="11"/>
      <c r="B52" s="437" t="s">
        <v>325</v>
      </c>
      <c r="C52" s="14" t="s">
        <v>370</v>
      </c>
      <c r="D52" s="2"/>
      <c r="E52" s="272">
        <v>10</v>
      </c>
      <c r="F52" s="273">
        <f t="shared" si="6"/>
        <v>0</v>
      </c>
      <c r="G52" s="273">
        <f t="shared" si="7"/>
        <v>0</v>
      </c>
    </row>
    <row r="53" spans="1:7" s="298" customFormat="1">
      <c r="A53" s="11"/>
      <c r="B53" s="437" t="s">
        <v>326</v>
      </c>
      <c r="C53" s="14" t="s">
        <v>370</v>
      </c>
      <c r="D53" s="2"/>
      <c r="E53" s="272">
        <v>10</v>
      </c>
      <c r="F53" s="273">
        <f t="shared" si="6"/>
        <v>0</v>
      </c>
      <c r="G53" s="273">
        <f t="shared" si="7"/>
        <v>0</v>
      </c>
    </row>
    <row r="54" spans="1:7" s="298" customFormat="1">
      <c r="A54" s="11"/>
      <c r="B54" s="437" t="s">
        <v>327</v>
      </c>
      <c r="C54" s="14" t="s">
        <v>370</v>
      </c>
      <c r="D54" s="2"/>
      <c r="E54" s="272">
        <v>10</v>
      </c>
      <c r="F54" s="273">
        <f t="shared" si="6"/>
        <v>0</v>
      </c>
      <c r="G54" s="273">
        <f t="shared" si="7"/>
        <v>0</v>
      </c>
    </row>
    <row r="55" spans="1:7" s="298" customFormat="1">
      <c r="A55" s="11"/>
      <c r="B55" s="437" t="s">
        <v>328</v>
      </c>
      <c r="C55" s="14" t="s">
        <v>370</v>
      </c>
      <c r="D55" s="2"/>
      <c r="E55" s="272">
        <v>10</v>
      </c>
      <c r="F55" s="273">
        <f t="shared" si="6"/>
        <v>0</v>
      </c>
      <c r="G55" s="273">
        <f t="shared" si="7"/>
        <v>0</v>
      </c>
    </row>
    <row r="56" spans="1:7" s="298" customFormat="1">
      <c r="A56" s="11"/>
      <c r="B56" s="437" t="s">
        <v>329</v>
      </c>
      <c r="C56" s="14" t="s">
        <v>370</v>
      </c>
      <c r="D56" s="2"/>
      <c r="E56" s="272">
        <v>10</v>
      </c>
      <c r="F56" s="273">
        <f t="shared" si="6"/>
        <v>0</v>
      </c>
      <c r="G56" s="273">
        <f t="shared" si="7"/>
        <v>0</v>
      </c>
    </row>
    <row r="57" spans="1:7" s="298" customFormat="1">
      <c r="A57" s="305"/>
      <c r="B57" s="146"/>
      <c r="C57" s="300" t="s">
        <v>462</v>
      </c>
      <c r="D57" s="534"/>
      <c r="E57" s="302"/>
      <c r="F57" s="303">
        <f>SUM(F47:F56)</f>
        <v>0</v>
      </c>
      <c r="G57" s="303">
        <f>SUM(G47:G56)</f>
        <v>0</v>
      </c>
    </row>
  </sheetData>
  <sheetProtection password="C924" sheet="1"/>
  <mergeCells count="1">
    <mergeCell ref="B4:G4"/>
  </mergeCells>
  <phoneticPr fontId="42" type="noConversion"/>
  <pageMargins left="0.74803149606299213" right="0.74803149606299213" top="0.59055118110236227" bottom="0.39370078740157483" header="0.19685039370078741" footer="0.19685039370078741"/>
  <pageSetup paperSize="9" scale="90" orientation="landscape" r:id="rId1"/>
  <headerFooter alignWithMargins="0">
    <oddHeader>&amp;Rส่วนที่ 4 การคำนวณภาระงานทำนุบำรุงศิลปวัฒนธรรม  หน้าที่ &amp;P/&amp;N</oddHeader>
    <oddFooter>&amp;Lส่วนที่ 4 การคำนวณภาระงานทำนุบำรุงศิลปวัฒนธรรม&amp;Cหน้าที่ 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29"/>
  </sheetPr>
  <dimension ref="A2:G30"/>
  <sheetViews>
    <sheetView topLeftCell="A4" workbookViewId="0">
      <selection activeCell="H26" sqref="H26"/>
    </sheetView>
  </sheetViews>
  <sheetFormatPr defaultRowHeight="12.75"/>
  <cols>
    <col min="1" max="1" width="6.42578125" style="533" customWidth="1"/>
    <col min="2" max="2" width="5.140625" style="533" customWidth="1"/>
    <col min="3" max="3" width="59.85546875" style="533" customWidth="1"/>
    <col min="4" max="4" width="8.7109375" style="533" customWidth="1"/>
    <col min="5" max="5" width="12.85546875" style="533" customWidth="1"/>
    <col min="6" max="6" width="15.42578125" style="533" customWidth="1"/>
    <col min="7" max="7" width="14.28515625" style="533" customWidth="1"/>
    <col min="8" max="16384" width="9.140625" style="533"/>
  </cols>
  <sheetData>
    <row r="2" spans="1:7" s="76" customFormat="1" ht="18">
      <c r="A2" s="75" t="s">
        <v>697</v>
      </c>
      <c r="D2" s="75"/>
      <c r="E2" s="78"/>
      <c r="F2" s="78"/>
    </row>
    <row r="3" spans="1:7" s="76" customFormat="1" ht="14.25">
      <c r="A3" s="586" t="s">
        <v>1156</v>
      </c>
      <c r="E3" s="78"/>
      <c r="F3" s="78"/>
    </row>
    <row r="4" spans="1:7" s="76" customFormat="1" ht="14.25">
      <c r="A4" s="586" t="s">
        <v>1157</v>
      </c>
      <c r="E4" s="78"/>
      <c r="F4" s="78"/>
    </row>
    <row r="5" spans="1:7" s="76" customFormat="1" ht="14.25">
      <c r="E5" s="78"/>
      <c r="F5" s="78"/>
    </row>
    <row r="6" spans="1:7" s="436" customFormat="1">
      <c r="A6" s="268" t="s">
        <v>468</v>
      </c>
      <c r="B6" s="264"/>
      <c r="C6" s="292"/>
      <c r="D6" s="267" t="s">
        <v>466</v>
      </c>
      <c r="E6" s="116" t="s">
        <v>287</v>
      </c>
      <c r="F6" s="105" t="s">
        <v>584</v>
      </c>
      <c r="G6" s="105" t="s">
        <v>584</v>
      </c>
    </row>
    <row r="7" spans="1:7" s="452" customFormat="1">
      <c r="A7" s="582"/>
      <c r="B7" s="269"/>
      <c r="C7" s="294"/>
      <c r="D7" s="271"/>
      <c r="E7" s="295"/>
      <c r="F7" s="111" t="s">
        <v>583</v>
      </c>
      <c r="G7" s="111" t="s">
        <v>585</v>
      </c>
    </row>
    <row r="8" spans="1:7" s="298" customFormat="1" ht="15.75">
      <c r="A8" s="583">
        <v>1</v>
      </c>
      <c r="B8" s="584" t="s">
        <v>700</v>
      </c>
      <c r="C8" s="587"/>
      <c r="D8" s="11"/>
      <c r="E8" s="11"/>
      <c r="F8" s="11"/>
      <c r="G8" s="11"/>
    </row>
    <row r="9" spans="1:7" s="298" customFormat="1">
      <c r="A9" s="117"/>
      <c r="B9" s="112" t="s">
        <v>712</v>
      </c>
      <c r="C9" s="587"/>
      <c r="D9" s="117"/>
      <c r="E9" s="588"/>
      <c r="F9" s="588"/>
      <c r="G9" s="588"/>
    </row>
    <row r="10" spans="1:7" s="298" customFormat="1">
      <c r="A10" s="117"/>
      <c r="C10" s="12" t="s">
        <v>475</v>
      </c>
      <c r="D10" s="2"/>
      <c r="E10" s="118">
        <v>35</v>
      </c>
      <c r="F10" s="119">
        <f>IF(D10&gt;1,E10*15,D10*E10*15)</f>
        <v>0</v>
      </c>
      <c r="G10" s="119">
        <f>F10/15</f>
        <v>0</v>
      </c>
    </row>
    <row r="11" spans="1:7" s="298" customFormat="1">
      <c r="A11" s="117"/>
      <c r="C11" s="12" t="s">
        <v>802</v>
      </c>
      <c r="D11" s="2"/>
      <c r="E11" s="118">
        <v>30</v>
      </c>
      <c r="F11" s="119">
        <f>IF(D11&gt;1,E11*15,D11*E11*15)</f>
        <v>0</v>
      </c>
      <c r="G11" s="119">
        <f t="shared" ref="G11:G20" si="0">F11/15</f>
        <v>0</v>
      </c>
    </row>
    <row r="12" spans="1:7" s="298" customFormat="1">
      <c r="A12" s="117"/>
      <c r="C12" s="12" t="s">
        <v>707</v>
      </c>
      <c r="D12" s="2"/>
      <c r="E12" s="118">
        <v>30</v>
      </c>
      <c r="F12" s="119">
        <f>IF(D12&gt;1,E12*15,D12*E12*15)</f>
        <v>0</v>
      </c>
      <c r="G12" s="119">
        <f t="shared" si="0"/>
        <v>0</v>
      </c>
    </row>
    <row r="13" spans="1:7" s="298" customFormat="1">
      <c r="A13" s="117"/>
      <c r="C13" s="12" t="s">
        <v>333</v>
      </c>
      <c r="D13" s="2"/>
      <c r="E13" s="118">
        <v>30</v>
      </c>
      <c r="F13" s="119">
        <f>IF(D13&gt;1,E13*15,D13*E13*15)</f>
        <v>0</v>
      </c>
      <c r="G13" s="119">
        <f t="shared" si="0"/>
        <v>0</v>
      </c>
    </row>
    <row r="14" spans="1:7" s="298" customFormat="1">
      <c r="A14" s="117"/>
      <c r="B14" s="112" t="s">
        <v>713</v>
      </c>
      <c r="C14" s="587"/>
      <c r="D14" s="117"/>
      <c r="E14" s="118"/>
      <c r="F14" s="119"/>
      <c r="G14" s="119"/>
    </row>
    <row r="15" spans="1:7" s="298" customFormat="1">
      <c r="A15" s="117"/>
      <c r="C15" s="12" t="s">
        <v>378</v>
      </c>
      <c r="D15" s="2"/>
      <c r="E15" s="118">
        <v>20</v>
      </c>
      <c r="F15" s="119">
        <f>IF(D15&gt;1,E15*15,D15*E15*15)</f>
        <v>0</v>
      </c>
      <c r="G15" s="119">
        <f t="shared" si="0"/>
        <v>0</v>
      </c>
    </row>
    <row r="16" spans="1:7" s="298" customFormat="1">
      <c r="A16" s="117"/>
      <c r="C16" s="12" t="s">
        <v>708</v>
      </c>
      <c r="D16" s="2"/>
      <c r="E16" s="118">
        <v>20</v>
      </c>
      <c r="F16" s="119">
        <f>IF(D16&gt;1,E16*15,D16*E16*15)</f>
        <v>0</v>
      </c>
      <c r="G16" s="119">
        <f t="shared" si="0"/>
        <v>0</v>
      </c>
    </row>
    <row r="17" spans="1:7" s="298" customFormat="1">
      <c r="A17" s="117"/>
      <c r="C17" s="12" t="s">
        <v>332</v>
      </c>
      <c r="D17" s="2"/>
      <c r="E17" s="118">
        <v>20</v>
      </c>
      <c r="F17" s="119">
        <f>IF(D17&gt;1,E17*15,D17*E17*15)</f>
        <v>0</v>
      </c>
      <c r="G17" s="119">
        <f t="shared" si="0"/>
        <v>0</v>
      </c>
    </row>
    <row r="18" spans="1:7" s="298" customFormat="1">
      <c r="A18" s="117"/>
      <c r="B18" s="1174" t="s">
        <v>1214</v>
      </c>
      <c r="C18" s="587"/>
      <c r="D18" s="117"/>
      <c r="E18" s="118"/>
      <c r="F18" s="119"/>
      <c r="G18" s="119"/>
    </row>
    <row r="19" spans="1:7" s="298" customFormat="1">
      <c r="A19" s="117"/>
      <c r="B19" s="546"/>
      <c r="C19" s="12" t="s">
        <v>711</v>
      </c>
      <c r="D19" s="2"/>
      <c r="E19" s="118">
        <v>10</v>
      </c>
      <c r="F19" s="119">
        <f t="shared" ref="F19:F26" si="1">IF(D19&gt;1,E19*15,D19*E19*15)</f>
        <v>0</v>
      </c>
      <c r="G19" s="119">
        <f t="shared" si="0"/>
        <v>0</v>
      </c>
    </row>
    <row r="20" spans="1:7" s="298" customFormat="1">
      <c r="A20" s="117"/>
      <c r="B20" s="546"/>
      <c r="C20" s="12" t="s">
        <v>710</v>
      </c>
      <c r="D20" s="2"/>
      <c r="E20" s="118">
        <v>10</v>
      </c>
      <c r="F20" s="119">
        <f t="shared" si="1"/>
        <v>0</v>
      </c>
      <c r="G20" s="119">
        <f t="shared" si="0"/>
        <v>0</v>
      </c>
    </row>
    <row r="21" spans="1:7" s="298" customFormat="1">
      <c r="A21" s="117"/>
      <c r="B21" s="546"/>
      <c r="C21" s="12" t="s">
        <v>476</v>
      </c>
      <c r="D21" s="2"/>
      <c r="E21" s="118">
        <v>9</v>
      </c>
      <c r="F21" s="119">
        <f t="shared" si="1"/>
        <v>0</v>
      </c>
      <c r="G21" s="119">
        <f t="shared" ref="G21:G27" si="2">F21/15</f>
        <v>0</v>
      </c>
    </row>
    <row r="22" spans="1:7" s="298" customFormat="1">
      <c r="A22" s="117"/>
      <c r="B22" s="112" t="s">
        <v>714</v>
      </c>
      <c r="C22" s="587"/>
      <c r="D22" s="117"/>
      <c r="E22" s="118"/>
      <c r="F22" s="119"/>
      <c r="G22" s="119"/>
    </row>
    <row r="23" spans="1:7" s="571" customFormat="1">
      <c r="A23" s="558"/>
      <c r="C23" s="12" t="s">
        <v>1211</v>
      </c>
      <c r="D23" s="2"/>
      <c r="E23" s="118">
        <v>9</v>
      </c>
      <c r="F23" s="119">
        <f t="shared" si="1"/>
        <v>0</v>
      </c>
      <c r="G23" s="119">
        <f t="shared" si="2"/>
        <v>0</v>
      </c>
    </row>
    <row r="24" spans="1:7" s="298" customFormat="1">
      <c r="A24" s="117"/>
      <c r="C24" s="12" t="s">
        <v>477</v>
      </c>
      <c r="D24" s="2"/>
      <c r="E24" s="118">
        <v>6</v>
      </c>
      <c r="F24" s="119">
        <f t="shared" si="1"/>
        <v>0</v>
      </c>
      <c r="G24" s="119">
        <f t="shared" si="2"/>
        <v>0</v>
      </c>
    </row>
    <row r="25" spans="1:7" s="298" customFormat="1">
      <c r="A25" s="117"/>
      <c r="B25" s="528"/>
      <c r="C25" s="12" t="s">
        <v>1121</v>
      </c>
      <c r="D25" s="2">
        <v>2</v>
      </c>
      <c r="E25" s="118">
        <v>5</v>
      </c>
      <c r="F25" s="119">
        <f t="shared" si="1"/>
        <v>75</v>
      </c>
      <c r="G25" s="119">
        <f>F25/15</f>
        <v>5</v>
      </c>
    </row>
    <row r="26" spans="1:7" s="571" customFormat="1">
      <c r="A26" s="558"/>
      <c r="C26" s="12" t="s">
        <v>1179</v>
      </c>
      <c r="D26" s="2"/>
      <c r="E26" s="118">
        <v>3</v>
      </c>
      <c r="F26" s="119">
        <f t="shared" si="1"/>
        <v>0</v>
      </c>
      <c r="G26" s="119">
        <f t="shared" si="2"/>
        <v>0</v>
      </c>
    </row>
    <row r="27" spans="1:7" s="298" customFormat="1">
      <c r="A27" s="117"/>
      <c r="C27" s="12" t="s">
        <v>1180</v>
      </c>
      <c r="D27" s="2"/>
      <c r="E27" s="118">
        <v>1</v>
      </c>
      <c r="F27" s="119">
        <f>D27*E27*15</f>
        <v>0</v>
      </c>
      <c r="G27" s="119">
        <f t="shared" si="2"/>
        <v>0</v>
      </c>
    </row>
    <row r="28" spans="1:7" s="298" customFormat="1">
      <c r="A28" s="117"/>
      <c r="B28" s="474"/>
      <c r="C28" s="122" t="s">
        <v>1138</v>
      </c>
      <c r="D28" s="124"/>
      <c r="E28" s="125"/>
      <c r="F28" s="577">
        <f>IF(D10&lt;&gt;0,F10,IF(D11&lt;&gt;0,F11,IF(D12&lt;&gt;0,F12,IF(D13&lt;&gt;0,F13,IF(D15&lt;&gt;0,F15,IF(D16&lt;&gt;0,F16,IF(D17&lt;&gt;0,F17,IF(D19&lt;&gt;0,F19))))))))+IF(COUNTIF(D10:D19,"&gt;0"),0,IF(D20&lt;&gt;0,F20,IF(D21&lt;&gt;0,F21,IF(D23&lt;&gt;0,F23,IF(D24&lt;&gt;0,F24,IF(D25&lt;&gt;0,F25,IF(D26&lt;&gt;0,F26,IF(D27&lt;&gt;0,F27,0))))))))</f>
        <v>75</v>
      </c>
      <c r="G28" s="577">
        <f>F28/15</f>
        <v>5</v>
      </c>
    </row>
    <row r="29" spans="1:7" s="298" customFormat="1" ht="15.75">
      <c r="A29" s="583">
        <v>2</v>
      </c>
      <c r="B29" s="584" t="s">
        <v>1125</v>
      </c>
      <c r="D29" s="117"/>
      <c r="E29" s="588"/>
      <c r="F29" s="119"/>
      <c r="G29" s="119"/>
    </row>
    <row r="30" spans="1:7" s="298" customFormat="1">
      <c r="A30" s="687"/>
      <c r="B30" s="529"/>
      <c r="C30" s="709" t="s">
        <v>1126</v>
      </c>
      <c r="D30" s="688"/>
      <c r="E30" s="689">
        <f>(E13*0.3)</f>
        <v>9</v>
      </c>
      <c r="F30" s="690">
        <f>IF(D30&gt;1,E30*15,D30*E30*15)</f>
        <v>0</v>
      </c>
      <c r="G30" s="690">
        <f>F30/15</f>
        <v>0</v>
      </c>
    </row>
  </sheetData>
  <sheetProtection password="C924" sheet="1"/>
  <phoneticPr fontId="42" type="noConversion"/>
  <pageMargins left="0.74803149606299213" right="0.74803149606299213" top="0.98425196850393704" bottom="0.98425196850393704" header="0.19685039370078741" footer="0.19685039370078741"/>
  <pageSetup paperSize="9" orientation="landscape" r:id="rId1"/>
  <headerFooter alignWithMargins="0">
    <oddHeader>&amp;Rการคำนวณภาระงานบริหาร  หน้าที่ &amp;P/&amp;N</oddHeader>
    <oddFooter>&amp;Lการคำนวณภาระงานบริหาร&amp;Cหน้าที่ 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29"/>
  </sheetPr>
  <dimension ref="A1:G88"/>
  <sheetViews>
    <sheetView workbookViewId="0">
      <selection activeCell="E15" sqref="E15"/>
    </sheetView>
  </sheetViews>
  <sheetFormatPr defaultRowHeight="12.75"/>
  <cols>
    <col min="1" max="1" width="5.5703125" style="533" customWidth="1"/>
    <col min="2" max="2" width="15.28515625" style="533" customWidth="1"/>
    <col min="3" max="3" width="48.140625" style="533" customWidth="1"/>
    <col min="4" max="4" width="14.28515625" style="533" customWidth="1"/>
    <col min="5" max="5" width="13.85546875" style="533" customWidth="1"/>
    <col min="6" max="6" width="15" style="533" customWidth="1"/>
    <col min="7" max="7" width="14.42578125" style="533" customWidth="1"/>
    <col min="8" max="16384" width="9.140625" style="533"/>
  </cols>
  <sheetData>
    <row r="1" spans="1:7" s="76" customFormat="1" ht="18">
      <c r="A1" s="75" t="s">
        <v>454</v>
      </c>
      <c r="D1" s="75"/>
      <c r="E1" s="78"/>
      <c r="F1" s="78"/>
    </row>
    <row r="2" spans="1:7" s="76" customFormat="1" ht="14.25">
      <c r="E2" s="78"/>
      <c r="F2" s="78"/>
    </row>
    <row r="3" spans="1:7" s="76" customFormat="1" ht="21" customHeight="1">
      <c r="A3" s="79">
        <v>1</v>
      </c>
      <c r="B3" s="80" t="s">
        <v>698</v>
      </c>
      <c r="C3" s="81"/>
      <c r="D3" s="82"/>
      <c r="E3" s="83"/>
      <c r="F3" s="83"/>
      <c r="G3" s="589"/>
    </row>
    <row r="4" spans="1:7" s="436" customFormat="1">
      <c r="A4" s="264"/>
      <c r="B4" s="292"/>
      <c r="C4" s="292"/>
      <c r="D4" s="267" t="s">
        <v>372</v>
      </c>
      <c r="E4" s="116" t="s">
        <v>287</v>
      </c>
      <c r="F4" s="105" t="s">
        <v>584</v>
      </c>
      <c r="G4" s="105" t="s">
        <v>584</v>
      </c>
    </row>
    <row r="5" spans="1:7" s="452" customFormat="1">
      <c r="A5" s="457"/>
      <c r="B5" s="562"/>
      <c r="C5" s="562"/>
      <c r="D5" s="473" t="s">
        <v>306</v>
      </c>
      <c r="E5" s="564"/>
      <c r="F5" s="237" t="s">
        <v>583</v>
      </c>
      <c r="G5" s="237" t="s">
        <v>585</v>
      </c>
    </row>
    <row r="6" spans="1:7" s="452" customFormat="1">
      <c r="A6" s="269"/>
      <c r="B6" s="294"/>
      <c r="C6" s="294"/>
      <c r="D6" s="470" t="s">
        <v>307</v>
      </c>
      <c r="E6" s="295"/>
      <c r="F6" s="295"/>
      <c r="G6" s="295"/>
    </row>
    <row r="7" spans="1:7" s="298" customFormat="1">
      <c r="A7" s="11"/>
      <c r="B7" s="437" t="s">
        <v>566</v>
      </c>
      <c r="C7" s="14" t="s">
        <v>455</v>
      </c>
      <c r="D7" s="2"/>
      <c r="E7" s="499">
        <v>22.5</v>
      </c>
      <c r="F7" s="273">
        <f>IF(D7&gt;=1,E7,IF(D7=0,0))</f>
        <v>0</v>
      </c>
      <c r="G7" s="273">
        <f>F7/15</f>
        <v>0</v>
      </c>
    </row>
    <row r="8" spans="1:7" s="298" customFormat="1">
      <c r="A8" s="11"/>
      <c r="B8" s="437" t="s">
        <v>567</v>
      </c>
      <c r="C8" s="14" t="s">
        <v>455</v>
      </c>
      <c r="D8" s="2"/>
      <c r="E8" s="499">
        <v>22.5</v>
      </c>
      <c r="F8" s="273">
        <f>IF(D8&gt;=1,E8,IF(D8=0,0))</f>
        <v>0</v>
      </c>
      <c r="G8" s="273">
        <f>F8/15</f>
        <v>0</v>
      </c>
    </row>
    <row r="9" spans="1:7" s="298" customFormat="1">
      <c r="A9" s="305"/>
      <c r="B9" s="129"/>
      <c r="C9" s="300" t="s">
        <v>462</v>
      </c>
      <c r="D9" s="534"/>
      <c r="E9" s="302"/>
      <c r="F9" s="303">
        <f>SUM(F7:F8)</f>
        <v>0</v>
      </c>
      <c r="G9" s="303">
        <f>SUM(G7:G8)</f>
        <v>0</v>
      </c>
    </row>
    <row r="10" spans="1:7" s="546" customFormat="1">
      <c r="A10" s="535"/>
      <c r="B10" s="178"/>
      <c r="C10" s="536"/>
      <c r="D10" s="537"/>
      <c r="E10" s="535"/>
      <c r="F10" s="539"/>
      <c r="G10" s="539"/>
    </row>
    <row r="11" spans="1:7" s="546" customFormat="1">
      <c r="A11" s="540"/>
      <c r="B11" s="541"/>
      <c r="C11" s="542"/>
      <c r="D11" s="543"/>
      <c r="E11" s="540"/>
      <c r="F11" s="545"/>
      <c r="G11" s="545"/>
    </row>
    <row r="12" spans="1:7" s="76" customFormat="1" ht="21" customHeight="1">
      <c r="A12" s="79">
        <v>2</v>
      </c>
      <c r="B12" s="80" t="s">
        <v>699</v>
      </c>
      <c r="C12" s="81"/>
      <c r="D12" s="82"/>
      <c r="E12" s="83"/>
      <c r="F12" s="83"/>
      <c r="G12" s="589"/>
    </row>
    <row r="13" spans="1:7" s="436" customFormat="1">
      <c r="A13" s="264"/>
      <c r="B13" s="292"/>
      <c r="C13" s="292"/>
      <c r="D13" s="267" t="s">
        <v>581</v>
      </c>
      <c r="E13" s="116" t="s">
        <v>287</v>
      </c>
      <c r="F13" s="105" t="s">
        <v>584</v>
      </c>
      <c r="G13" s="105" t="s">
        <v>584</v>
      </c>
    </row>
    <row r="14" spans="1:7" s="452" customFormat="1">
      <c r="A14" s="269"/>
      <c r="B14" s="294"/>
      <c r="C14" s="294"/>
      <c r="D14" s="271" t="s">
        <v>371</v>
      </c>
      <c r="E14" s="295"/>
      <c r="F14" s="111" t="s">
        <v>583</v>
      </c>
      <c r="G14" s="111" t="s">
        <v>585</v>
      </c>
    </row>
    <row r="15" spans="1:7" s="442" customFormat="1" ht="27" customHeight="1">
      <c r="A15" s="590"/>
      <c r="B15" s="591" t="s">
        <v>334</v>
      </c>
      <c r="C15" s="592"/>
      <c r="D15" s="13">
        <v>42</v>
      </c>
      <c r="E15" s="593" t="s">
        <v>521</v>
      </c>
      <c r="F15" s="594">
        <v>15</v>
      </c>
      <c r="G15" s="595">
        <f>IF(D15&lt;&gt;"",1,0)</f>
        <v>1</v>
      </c>
    </row>
    <row r="16" spans="1:7" s="546" customFormat="1">
      <c r="A16" s="535"/>
      <c r="B16" s="178"/>
      <c r="C16" s="536"/>
      <c r="D16" s="537"/>
      <c r="E16" s="535"/>
      <c r="F16" s="539"/>
      <c r="G16" s="539"/>
    </row>
    <row r="17" spans="1:7" s="546" customFormat="1">
      <c r="A17" s="540"/>
      <c r="B17" s="541"/>
      <c r="C17" s="542"/>
      <c r="D17" s="543"/>
      <c r="E17" s="540"/>
      <c r="F17" s="545"/>
      <c r="G17" s="545"/>
    </row>
    <row r="18" spans="1:7" s="76" customFormat="1" ht="21" customHeight="1">
      <c r="A18" s="79">
        <v>3</v>
      </c>
      <c r="B18" s="233" t="s">
        <v>373</v>
      </c>
      <c r="C18" s="81"/>
      <c r="D18" s="82"/>
      <c r="E18" s="83"/>
      <c r="F18" s="83"/>
      <c r="G18" s="589"/>
    </row>
    <row r="19" spans="1:7" s="436" customFormat="1">
      <c r="A19" s="264"/>
      <c r="B19" s="292"/>
      <c r="C19" s="292"/>
      <c r="D19" s="267" t="s">
        <v>375</v>
      </c>
      <c r="E19" s="116" t="s">
        <v>287</v>
      </c>
      <c r="F19" s="105" t="s">
        <v>584</v>
      </c>
      <c r="G19" s="105" t="s">
        <v>584</v>
      </c>
    </row>
    <row r="20" spans="1:7" s="452" customFormat="1">
      <c r="A20" s="269"/>
      <c r="B20" s="294"/>
      <c r="C20" s="294"/>
      <c r="D20" s="271" t="s">
        <v>374</v>
      </c>
      <c r="E20" s="295"/>
      <c r="F20" s="111" t="s">
        <v>583</v>
      </c>
      <c r="G20" s="111" t="s">
        <v>585</v>
      </c>
    </row>
    <row r="21" spans="1:7" s="298" customFormat="1" ht="15" customHeight="1">
      <c r="A21" s="590"/>
      <c r="B21" s="112" t="s">
        <v>635</v>
      </c>
      <c r="D21" s="299"/>
      <c r="E21" s="11"/>
      <c r="F21" s="11"/>
      <c r="G21" s="11"/>
    </row>
    <row r="22" spans="1:7" s="298" customFormat="1">
      <c r="A22" s="11"/>
      <c r="B22" s="437" t="s">
        <v>636</v>
      </c>
      <c r="C22" s="14" t="s">
        <v>1308</v>
      </c>
      <c r="D22" s="2">
        <v>3</v>
      </c>
      <c r="E22" s="272">
        <v>1</v>
      </c>
      <c r="F22" s="273">
        <f t="shared" ref="F22:F41" si="0">D22*E22</f>
        <v>3</v>
      </c>
      <c r="G22" s="273">
        <f t="shared" ref="G22:G41" si="1">F22/15</f>
        <v>0.2</v>
      </c>
    </row>
    <row r="23" spans="1:7" s="298" customFormat="1">
      <c r="A23" s="11"/>
      <c r="B23" s="437" t="s">
        <v>638</v>
      </c>
      <c r="C23" s="14" t="s">
        <v>1309</v>
      </c>
      <c r="D23" s="2">
        <v>6</v>
      </c>
      <c r="E23" s="272">
        <v>1</v>
      </c>
      <c r="F23" s="273">
        <f t="shared" si="0"/>
        <v>6</v>
      </c>
      <c r="G23" s="273">
        <f t="shared" si="1"/>
        <v>0.4</v>
      </c>
    </row>
    <row r="24" spans="1:7" s="298" customFormat="1">
      <c r="A24" s="11"/>
      <c r="B24" s="437" t="s">
        <v>639</v>
      </c>
      <c r="C24" s="14" t="s">
        <v>1310</v>
      </c>
      <c r="D24" s="2">
        <v>18</v>
      </c>
      <c r="E24" s="272">
        <v>1</v>
      </c>
      <c r="F24" s="273">
        <f t="shared" si="0"/>
        <v>18</v>
      </c>
      <c r="G24" s="273">
        <f t="shared" si="1"/>
        <v>1.2</v>
      </c>
    </row>
    <row r="25" spans="1:7" s="298" customFormat="1">
      <c r="A25" s="11"/>
      <c r="B25" s="437" t="s">
        <v>640</v>
      </c>
      <c r="C25" s="14" t="s">
        <v>1311</v>
      </c>
      <c r="D25" s="2">
        <v>3</v>
      </c>
      <c r="E25" s="272">
        <v>1</v>
      </c>
      <c r="F25" s="273">
        <f t="shared" si="0"/>
        <v>3</v>
      </c>
      <c r="G25" s="273">
        <f t="shared" si="1"/>
        <v>0.2</v>
      </c>
    </row>
    <row r="26" spans="1:7" s="298" customFormat="1">
      <c r="A26" s="11"/>
      <c r="B26" s="447" t="s">
        <v>641</v>
      </c>
      <c r="C26" s="14" t="s">
        <v>1312</v>
      </c>
      <c r="D26" s="2">
        <v>9</v>
      </c>
      <c r="E26" s="272">
        <v>1</v>
      </c>
      <c r="F26" s="273">
        <f t="shared" si="0"/>
        <v>9</v>
      </c>
      <c r="G26" s="273">
        <f t="shared" si="1"/>
        <v>0.6</v>
      </c>
    </row>
    <row r="27" spans="1:7" s="298" customFormat="1">
      <c r="A27" s="11"/>
      <c r="B27" s="447" t="s">
        <v>758</v>
      </c>
      <c r="C27" s="14" t="s">
        <v>1322</v>
      </c>
      <c r="D27" s="2">
        <v>3</v>
      </c>
      <c r="E27" s="272">
        <v>1</v>
      </c>
      <c r="F27" s="273">
        <f t="shared" si="0"/>
        <v>3</v>
      </c>
      <c r="G27" s="273">
        <f t="shared" si="1"/>
        <v>0.2</v>
      </c>
    </row>
    <row r="28" spans="1:7" s="298" customFormat="1">
      <c r="A28" s="11"/>
      <c r="B28" s="447" t="s">
        <v>759</v>
      </c>
      <c r="C28" s="14" t="s">
        <v>1323</v>
      </c>
      <c r="D28" s="2">
        <v>3</v>
      </c>
      <c r="E28" s="272">
        <v>1</v>
      </c>
      <c r="F28" s="273">
        <f t="shared" si="0"/>
        <v>3</v>
      </c>
      <c r="G28" s="273">
        <f t="shared" si="1"/>
        <v>0.2</v>
      </c>
    </row>
    <row r="29" spans="1:7" s="298" customFormat="1">
      <c r="A29" s="11"/>
      <c r="B29" s="447" t="s">
        <v>760</v>
      </c>
      <c r="C29" s="14" t="s">
        <v>1324</v>
      </c>
      <c r="D29" s="2">
        <v>3</v>
      </c>
      <c r="E29" s="272">
        <v>1</v>
      </c>
      <c r="F29" s="273">
        <f t="shared" si="0"/>
        <v>3</v>
      </c>
      <c r="G29" s="273">
        <f t="shared" si="1"/>
        <v>0.2</v>
      </c>
    </row>
    <row r="30" spans="1:7" s="298" customFormat="1">
      <c r="A30" s="11"/>
      <c r="B30" s="447" t="s">
        <v>761</v>
      </c>
      <c r="C30" s="14" t="s">
        <v>1329</v>
      </c>
      <c r="D30" s="2">
        <v>6</v>
      </c>
      <c r="E30" s="272">
        <v>1</v>
      </c>
      <c r="F30" s="273">
        <f t="shared" si="0"/>
        <v>6</v>
      </c>
      <c r="G30" s="273">
        <f t="shared" si="1"/>
        <v>0.4</v>
      </c>
    </row>
    <row r="31" spans="1:7" s="298" customFormat="1">
      <c r="A31" s="11"/>
      <c r="B31" s="447" t="s">
        <v>762</v>
      </c>
      <c r="C31" s="14" t="s">
        <v>1330</v>
      </c>
      <c r="D31" s="2"/>
      <c r="E31" s="272">
        <v>1</v>
      </c>
      <c r="F31" s="273">
        <f t="shared" si="0"/>
        <v>0</v>
      </c>
      <c r="G31" s="273">
        <f t="shared" si="1"/>
        <v>0</v>
      </c>
    </row>
    <row r="32" spans="1:7" s="298" customFormat="1">
      <c r="A32" s="11"/>
      <c r="B32" s="447" t="s">
        <v>763</v>
      </c>
      <c r="C32" s="14" t="s">
        <v>637</v>
      </c>
      <c r="D32" s="2"/>
      <c r="E32" s="272">
        <v>1</v>
      </c>
      <c r="F32" s="273">
        <f t="shared" si="0"/>
        <v>0</v>
      </c>
      <c r="G32" s="273">
        <f t="shared" si="1"/>
        <v>0</v>
      </c>
    </row>
    <row r="33" spans="1:7" s="298" customFormat="1">
      <c r="A33" s="11"/>
      <c r="B33" s="447" t="s">
        <v>764</v>
      </c>
      <c r="C33" s="14" t="s">
        <v>637</v>
      </c>
      <c r="D33" s="2"/>
      <c r="E33" s="272">
        <v>1</v>
      </c>
      <c r="F33" s="273">
        <f t="shared" si="0"/>
        <v>0</v>
      </c>
      <c r="G33" s="273">
        <f t="shared" si="1"/>
        <v>0</v>
      </c>
    </row>
    <row r="34" spans="1:7" s="298" customFormat="1">
      <c r="A34" s="11"/>
      <c r="B34" s="447" t="s">
        <v>765</v>
      </c>
      <c r="C34" s="14" t="s">
        <v>637</v>
      </c>
      <c r="D34" s="2"/>
      <c r="E34" s="272">
        <v>1</v>
      </c>
      <c r="F34" s="273">
        <f t="shared" si="0"/>
        <v>0</v>
      </c>
      <c r="G34" s="273">
        <f t="shared" si="1"/>
        <v>0</v>
      </c>
    </row>
    <row r="35" spans="1:7" s="298" customFormat="1">
      <c r="A35" s="11"/>
      <c r="B35" s="447" t="s">
        <v>766</v>
      </c>
      <c r="C35" s="14" t="s">
        <v>637</v>
      </c>
      <c r="D35" s="2"/>
      <c r="E35" s="272">
        <v>1</v>
      </c>
      <c r="F35" s="273">
        <f t="shared" si="0"/>
        <v>0</v>
      </c>
      <c r="G35" s="273">
        <f t="shared" si="1"/>
        <v>0</v>
      </c>
    </row>
    <row r="36" spans="1:7" s="298" customFormat="1">
      <c r="A36" s="11"/>
      <c r="B36" s="447" t="s">
        <v>767</v>
      </c>
      <c r="C36" s="14" t="s">
        <v>637</v>
      </c>
      <c r="D36" s="2"/>
      <c r="E36" s="272">
        <v>1</v>
      </c>
      <c r="F36" s="273">
        <f t="shared" si="0"/>
        <v>0</v>
      </c>
      <c r="G36" s="273">
        <f t="shared" si="1"/>
        <v>0</v>
      </c>
    </row>
    <row r="37" spans="1:7" s="298" customFormat="1">
      <c r="A37" s="11"/>
      <c r="B37" s="447" t="s">
        <v>768</v>
      </c>
      <c r="C37" s="14" t="s">
        <v>637</v>
      </c>
      <c r="D37" s="2"/>
      <c r="E37" s="272">
        <v>1</v>
      </c>
      <c r="F37" s="273">
        <f t="shared" si="0"/>
        <v>0</v>
      </c>
      <c r="G37" s="273">
        <f t="shared" si="1"/>
        <v>0</v>
      </c>
    </row>
    <row r="38" spans="1:7" s="298" customFormat="1">
      <c r="A38" s="11"/>
      <c r="B38" s="447" t="s">
        <v>769</v>
      </c>
      <c r="C38" s="14" t="s">
        <v>637</v>
      </c>
      <c r="D38" s="2"/>
      <c r="E38" s="272">
        <v>1</v>
      </c>
      <c r="F38" s="273">
        <f t="shared" si="0"/>
        <v>0</v>
      </c>
      <c r="G38" s="273">
        <f t="shared" si="1"/>
        <v>0</v>
      </c>
    </row>
    <row r="39" spans="1:7" s="298" customFormat="1">
      <c r="A39" s="11"/>
      <c r="B39" s="447" t="s">
        <v>770</v>
      </c>
      <c r="C39" s="14" t="s">
        <v>637</v>
      </c>
      <c r="D39" s="2"/>
      <c r="E39" s="272">
        <v>1</v>
      </c>
      <c r="F39" s="273">
        <f t="shared" si="0"/>
        <v>0</v>
      </c>
      <c r="G39" s="273">
        <f t="shared" si="1"/>
        <v>0</v>
      </c>
    </row>
    <row r="40" spans="1:7" s="298" customFormat="1">
      <c r="A40" s="11"/>
      <c r="B40" s="447" t="s">
        <v>771</v>
      </c>
      <c r="C40" s="14" t="s">
        <v>637</v>
      </c>
      <c r="D40" s="2"/>
      <c r="E40" s="272">
        <v>1</v>
      </c>
      <c r="F40" s="273">
        <f t="shared" si="0"/>
        <v>0</v>
      </c>
      <c r="G40" s="273">
        <f t="shared" si="1"/>
        <v>0</v>
      </c>
    </row>
    <row r="41" spans="1:7" s="298" customFormat="1">
      <c r="A41" s="11"/>
      <c r="B41" s="447" t="s">
        <v>772</v>
      </c>
      <c r="C41" s="14" t="s">
        <v>637</v>
      </c>
      <c r="D41" s="2"/>
      <c r="E41" s="272">
        <v>1</v>
      </c>
      <c r="F41" s="273">
        <f t="shared" si="0"/>
        <v>0</v>
      </c>
      <c r="G41" s="273">
        <f t="shared" si="1"/>
        <v>0</v>
      </c>
    </row>
    <row r="42" spans="1:7" s="298" customFormat="1">
      <c r="A42" s="305"/>
      <c r="B42" s="146"/>
      <c r="C42" s="300" t="s">
        <v>462</v>
      </c>
      <c r="D42" s="534"/>
      <c r="E42" s="302"/>
      <c r="F42" s="303">
        <f>SUM(F22:F41)</f>
        <v>54</v>
      </c>
      <c r="G42" s="303">
        <f>SUM(G22:G41)</f>
        <v>3.6000000000000005</v>
      </c>
    </row>
    <row r="43" spans="1:7" s="298" customFormat="1">
      <c r="A43" s="11"/>
      <c r="B43" s="112" t="s">
        <v>701</v>
      </c>
      <c r="C43" s="437"/>
      <c r="D43" s="117"/>
      <c r="E43" s="272"/>
      <c r="F43" s="273"/>
      <c r="G43" s="273"/>
    </row>
    <row r="44" spans="1:7" s="298" customFormat="1">
      <c r="A44" s="11"/>
      <c r="B44" s="437" t="s">
        <v>636</v>
      </c>
      <c r="C44" s="14" t="s">
        <v>637</v>
      </c>
      <c r="D44" s="2"/>
      <c r="E44" s="499">
        <v>1.3</v>
      </c>
      <c r="F44" s="273">
        <f t="shared" ref="F44:F53" si="2">D44*E44</f>
        <v>0</v>
      </c>
      <c r="G44" s="273">
        <f t="shared" ref="G44:G53" si="3">F44/15</f>
        <v>0</v>
      </c>
    </row>
    <row r="45" spans="1:7" s="298" customFormat="1">
      <c r="A45" s="11"/>
      <c r="B45" s="437" t="s">
        <v>638</v>
      </c>
      <c r="C45" s="14" t="s">
        <v>637</v>
      </c>
      <c r="D45" s="2"/>
      <c r="E45" s="499">
        <v>1.3</v>
      </c>
      <c r="F45" s="273">
        <f t="shared" si="2"/>
        <v>0</v>
      </c>
      <c r="G45" s="273">
        <f t="shared" si="3"/>
        <v>0</v>
      </c>
    </row>
    <row r="46" spans="1:7" s="298" customFormat="1">
      <c r="A46" s="11"/>
      <c r="B46" s="437" t="s">
        <v>639</v>
      </c>
      <c r="C46" s="14" t="s">
        <v>637</v>
      </c>
      <c r="D46" s="2"/>
      <c r="E46" s="499">
        <v>1.3</v>
      </c>
      <c r="F46" s="273">
        <f t="shared" si="2"/>
        <v>0</v>
      </c>
      <c r="G46" s="273">
        <f t="shared" si="3"/>
        <v>0</v>
      </c>
    </row>
    <row r="47" spans="1:7" s="298" customFormat="1">
      <c r="A47" s="11"/>
      <c r="B47" s="437" t="s">
        <v>640</v>
      </c>
      <c r="C47" s="14" t="s">
        <v>637</v>
      </c>
      <c r="D47" s="2"/>
      <c r="E47" s="499">
        <v>1.3</v>
      </c>
      <c r="F47" s="273">
        <f t="shared" si="2"/>
        <v>0</v>
      </c>
      <c r="G47" s="273">
        <f t="shared" si="3"/>
        <v>0</v>
      </c>
    </row>
    <row r="48" spans="1:7" s="298" customFormat="1">
      <c r="A48" s="11"/>
      <c r="B48" s="437" t="s">
        <v>641</v>
      </c>
      <c r="C48" s="14" t="s">
        <v>637</v>
      </c>
      <c r="D48" s="2"/>
      <c r="E48" s="499">
        <v>1.3</v>
      </c>
      <c r="F48" s="273">
        <f t="shared" si="2"/>
        <v>0</v>
      </c>
      <c r="G48" s="273">
        <f t="shared" si="3"/>
        <v>0</v>
      </c>
    </row>
    <row r="49" spans="1:7" s="298" customFormat="1">
      <c r="A49" s="11"/>
      <c r="B49" s="437" t="s">
        <v>758</v>
      </c>
      <c r="C49" s="14" t="s">
        <v>637</v>
      </c>
      <c r="D49" s="2"/>
      <c r="E49" s="499">
        <v>1.3</v>
      </c>
      <c r="F49" s="273">
        <f t="shared" si="2"/>
        <v>0</v>
      </c>
      <c r="G49" s="273">
        <f t="shared" si="3"/>
        <v>0</v>
      </c>
    </row>
    <row r="50" spans="1:7" s="298" customFormat="1">
      <c r="A50" s="11"/>
      <c r="B50" s="437" t="s">
        <v>759</v>
      </c>
      <c r="C50" s="14" t="s">
        <v>637</v>
      </c>
      <c r="D50" s="2"/>
      <c r="E50" s="499">
        <v>1.3</v>
      </c>
      <c r="F50" s="273">
        <f t="shared" si="2"/>
        <v>0</v>
      </c>
      <c r="G50" s="273">
        <f t="shared" si="3"/>
        <v>0</v>
      </c>
    </row>
    <row r="51" spans="1:7" s="298" customFormat="1">
      <c r="A51" s="11"/>
      <c r="B51" s="437" t="s">
        <v>760</v>
      </c>
      <c r="C51" s="14" t="s">
        <v>637</v>
      </c>
      <c r="D51" s="2"/>
      <c r="E51" s="499">
        <v>1.3</v>
      </c>
      <c r="F51" s="273">
        <f t="shared" si="2"/>
        <v>0</v>
      </c>
      <c r="G51" s="273">
        <f t="shared" si="3"/>
        <v>0</v>
      </c>
    </row>
    <row r="52" spans="1:7" s="298" customFormat="1">
      <c r="A52" s="11"/>
      <c r="B52" s="437" t="s">
        <v>761</v>
      </c>
      <c r="C52" s="14" t="s">
        <v>637</v>
      </c>
      <c r="D52" s="2"/>
      <c r="E52" s="499">
        <v>1.3</v>
      </c>
      <c r="F52" s="273">
        <f t="shared" si="2"/>
        <v>0</v>
      </c>
      <c r="G52" s="273">
        <f t="shared" si="3"/>
        <v>0</v>
      </c>
    </row>
    <row r="53" spans="1:7" s="298" customFormat="1">
      <c r="A53" s="11"/>
      <c r="B53" s="437" t="s">
        <v>762</v>
      </c>
      <c r="C53" s="14" t="s">
        <v>637</v>
      </c>
      <c r="D53" s="2"/>
      <c r="E53" s="499">
        <v>1.3</v>
      </c>
      <c r="F53" s="273">
        <f t="shared" si="2"/>
        <v>0</v>
      </c>
      <c r="G53" s="273">
        <f t="shared" si="3"/>
        <v>0</v>
      </c>
    </row>
    <row r="54" spans="1:7" s="298" customFormat="1">
      <c r="A54" s="305"/>
      <c r="B54" s="129"/>
      <c r="C54" s="300" t="s">
        <v>462</v>
      </c>
      <c r="D54" s="534"/>
      <c r="E54" s="302"/>
      <c r="F54" s="303">
        <f>SUM(F44:F53)</f>
        <v>0</v>
      </c>
      <c r="G54" s="303">
        <f>SUM(G44:G53)</f>
        <v>0</v>
      </c>
    </row>
    <row r="55" spans="1:7" s="298" customFormat="1" ht="21" customHeight="1">
      <c r="A55" s="547"/>
      <c r="B55" s="548"/>
      <c r="C55" s="549"/>
      <c r="D55" s="596"/>
      <c r="E55" s="550" t="s">
        <v>729</v>
      </c>
      <c r="F55" s="551">
        <f>F54+F42</f>
        <v>54</v>
      </c>
      <c r="G55" s="551">
        <f>G54+G42</f>
        <v>3.6000000000000005</v>
      </c>
    </row>
    <row r="56" spans="1:7" s="546" customFormat="1">
      <c r="A56" s="535"/>
      <c r="B56" s="178"/>
      <c r="C56" s="536"/>
      <c r="D56" s="537"/>
      <c r="E56" s="535"/>
      <c r="F56" s="539"/>
      <c r="G56" s="539"/>
    </row>
    <row r="57" spans="1:7" s="546" customFormat="1">
      <c r="A57" s="540"/>
      <c r="B57" s="541"/>
      <c r="C57" s="542"/>
      <c r="D57" s="543"/>
      <c r="E57" s="540"/>
      <c r="F57" s="545"/>
      <c r="G57" s="545"/>
    </row>
    <row r="58" spans="1:7" s="76" customFormat="1" ht="21" customHeight="1">
      <c r="A58" s="79">
        <v>4</v>
      </c>
      <c r="B58" s="233" t="s">
        <v>702</v>
      </c>
      <c r="C58" s="81"/>
      <c r="D58" s="82"/>
      <c r="E58" s="83"/>
      <c r="F58" s="83"/>
      <c r="G58" s="589"/>
    </row>
    <row r="59" spans="1:7" s="436" customFormat="1">
      <c r="A59" s="264"/>
      <c r="B59" s="292"/>
      <c r="C59" s="292"/>
      <c r="D59" s="267" t="s">
        <v>377</v>
      </c>
      <c r="E59" s="116" t="s">
        <v>287</v>
      </c>
      <c r="F59" s="105" t="s">
        <v>584</v>
      </c>
      <c r="G59" s="105" t="s">
        <v>584</v>
      </c>
    </row>
    <row r="60" spans="1:7" s="452" customFormat="1">
      <c r="A60" s="457"/>
      <c r="B60" s="562"/>
      <c r="C60" s="562"/>
      <c r="D60" s="289" t="s">
        <v>354</v>
      </c>
      <c r="E60" s="564"/>
      <c r="F60" s="237" t="s">
        <v>583</v>
      </c>
      <c r="G60" s="237" t="s">
        <v>585</v>
      </c>
    </row>
    <row r="61" spans="1:7" s="452" customFormat="1">
      <c r="A61" s="457"/>
      <c r="B61" s="562"/>
      <c r="C61" s="562"/>
      <c r="D61" s="473" t="s">
        <v>306</v>
      </c>
      <c r="E61" s="564"/>
      <c r="F61" s="237"/>
      <c r="G61" s="237"/>
    </row>
    <row r="62" spans="1:7" s="452" customFormat="1">
      <c r="A62" s="269"/>
      <c r="B62" s="294"/>
      <c r="C62" s="294"/>
      <c r="D62" s="470" t="s">
        <v>307</v>
      </c>
      <c r="E62" s="295"/>
      <c r="F62" s="111"/>
      <c r="G62" s="111"/>
    </row>
    <row r="63" spans="1:7" s="298" customFormat="1">
      <c r="A63" s="11"/>
      <c r="B63" s="112" t="s">
        <v>703</v>
      </c>
      <c r="C63" s="437"/>
      <c r="D63" s="117"/>
      <c r="E63" s="272"/>
      <c r="F63" s="273"/>
      <c r="G63" s="273"/>
    </row>
    <row r="64" spans="1:7" s="298" customFormat="1">
      <c r="A64" s="11"/>
      <c r="B64" s="437" t="s">
        <v>629</v>
      </c>
      <c r="C64" s="14" t="s">
        <v>509</v>
      </c>
      <c r="D64" s="2"/>
      <c r="E64" s="272">
        <v>10</v>
      </c>
      <c r="F64" s="273">
        <f>IF(D64&gt;=1,E64,IF(D64=0,0))</f>
        <v>0</v>
      </c>
      <c r="G64" s="273">
        <f>F64/15</f>
        <v>0</v>
      </c>
    </row>
    <row r="65" spans="1:7" s="298" customFormat="1">
      <c r="A65" s="11"/>
      <c r="B65" s="437" t="s">
        <v>630</v>
      </c>
      <c r="C65" s="14" t="s">
        <v>509</v>
      </c>
      <c r="D65" s="2"/>
      <c r="E65" s="272">
        <v>10</v>
      </c>
      <c r="F65" s="273">
        <f t="shared" ref="F65:F75" si="4">IF(D65&gt;=1,E65,IF(D65=0,0))</f>
        <v>0</v>
      </c>
      <c r="G65" s="273">
        <f>F65/15</f>
        <v>0</v>
      </c>
    </row>
    <row r="66" spans="1:7" s="298" customFormat="1">
      <c r="A66" s="11"/>
      <c r="B66" s="437" t="s">
        <v>631</v>
      </c>
      <c r="C66" s="14" t="s">
        <v>509</v>
      </c>
      <c r="D66" s="2"/>
      <c r="E66" s="272">
        <v>10</v>
      </c>
      <c r="F66" s="273">
        <f t="shared" si="4"/>
        <v>0</v>
      </c>
      <c r="G66" s="273">
        <f>F66/15</f>
        <v>0</v>
      </c>
    </row>
    <row r="67" spans="1:7" s="298" customFormat="1">
      <c r="A67" s="11"/>
      <c r="B67" s="437" t="s">
        <v>632</v>
      </c>
      <c r="C67" s="14" t="s">
        <v>509</v>
      </c>
      <c r="D67" s="2"/>
      <c r="E67" s="272">
        <v>10</v>
      </c>
      <c r="F67" s="273">
        <f t="shared" si="4"/>
        <v>0</v>
      </c>
      <c r="G67" s="273">
        <f>F67/15</f>
        <v>0</v>
      </c>
    </row>
    <row r="68" spans="1:7" s="298" customFormat="1">
      <c r="A68" s="11"/>
      <c r="B68" s="447" t="s">
        <v>633</v>
      </c>
      <c r="C68" s="14" t="s">
        <v>509</v>
      </c>
      <c r="D68" s="2"/>
      <c r="E68" s="272">
        <v>10</v>
      </c>
      <c r="F68" s="273">
        <f t="shared" si="4"/>
        <v>0</v>
      </c>
      <c r="G68" s="273">
        <f>F68/15</f>
        <v>0</v>
      </c>
    </row>
    <row r="69" spans="1:7" s="298" customFormat="1">
      <c r="A69" s="305"/>
      <c r="B69" s="146"/>
      <c r="C69" s="300" t="s">
        <v>462</v>
      </c>
      <c r="D69" s="534"/>
      <c r="E69" s="302"/>
      <c r="F69" s="303">
        <f>SUM(F64:F68)</f>
        <v>0</v>
      </c>
      <c r="G69" s="303">
        <f>SUM(G64:G68)</f>
        <v>0</v>
      </c>
    </row>
    <row r="70" spans="1:7" s="298" customFormat="1">
      <c r="A70" s="11"/>
      <c r="B70" s="112" t="s">
        <v>704</v>
      </c>
      <c r="C70" s="437"/>
      <c r="D70" s="117"/>
      <c r="E70" s="272"/>
      <c r="F70" s="273"/>
      <c r="G70" s="273"/>
    </row>
    <row r="71" spans="1:7" s="298" customFormat="1">
      <c r="A71" s="11"/>
      <c r="B71" s="437" t="s">
        <v>629</v>
      </c>
      <c r="C71" s="14" t="s">
        <v>509</v>
      </c>
      <c r="D71" s="2"/>
      <c r="E71" s="272">
        <v>3</v>
      </c>
      <c r="F71" s="273">
        <f>IF(D71&gt;=1,E71,IF(D71=0,0))</f>
        <v>0</v>
      </c>
      <c r="G71" s="273">
        <f>F71/15</f>
        <v>0</v>
      </c>
    </row>
    <row r="72" spans="1:7" s="298" customFormat="1">
      <c r="A72" s="11"/>
      <c r="B72" s="437" t="s">
        <v>630</v>
      </c>
      <c r="C72" s="14" t="s">
        <v>509</v>
      </c>
      <c r="D72" s="2"/>
      <c r="E72" s="272">
        <v>3</v>
      </c>
      <c r="F72" s="273">
        <f t="shared" si="4"/>
        <v>0</v>
      </c>
      <c r="G72" s="273">
        <f>F72/15</f>
        <v>0</v>
      </c>
    </row>
    <row r="73" spans="1:7" s="298" customFormat="1">
      <c r="A73" s="11"/>
      <c r="B73" s="437" t="s">
        <v>631</v>
      </c>
      <c r="C73" s="14" t="s">
        <v>509</v>
      </c>
      <c r="D73" s="2"/>
      <c r="E73" s="272">
        <v>3</v>
      </c>
      <c r="F73" s="273">
        <f t="shared" si="4"/>
        <v>0</v>
      </c>
      <c r="G73" s="273">
        <f>F73/15</f>
        <v>0</v>
      </c>
    </row>
    <row r="74" spans="1:7" s="298" customFormat="1">
      <c r="A74" s="11"/>
      <c r="B74" s="437" t="s">
        <v>632</v>
      </c>
      <c r="C74" s="14" t="s">
        <v>509</v>
      </c>
      <c r="D74" s="2"/>
      <c r="E74" s="272">
        <v>3</v>
      </c>
      <c r="F74" s="273">
        <f t="shared" si="4"/>
        <v>0</v>
      </c>
      <c r="G74" s="273">
        <f>F74/15</f>
        <v>0</v>
      </c>
    </row>
    <row r="75" spans="1:7" s="298" customFormat="1">
      <c r="A75" s="11"/>
      <c r="B75" s="437" t="s">
        <v>633</v>
      </c>
      <c r="C75" s="14" t="s">
        <v>509</v>
      </c>
      <c r="D75" s="2"/>
      <c r="E75" s="272">
        <v>3</v>
      </c>
      <c r="F75" s="273">
        <f t="shared" si="4"/>
        <v>0</v>
      </c>
      <c r="G75" s="273">
        <f>F75/15</f>
        <v>0</v>
      </c>
    </row>
    <row r="76" spans="1:7" s="298" customFormat="1">
      <c r="A76" s="305"/>
      <c r="B76" s="129"/>
      <c r="C76" s="300" t="s">
        <v>462</v>
      </c>
      <c r="D76" s="534"/>
      <c r="E76" s="302"/>
      <c r="F76" s="303">
        <f>SUM(F71:F75)</f>
        <v>0</v>
      </c>
      <c r="G76" s="303">
        <f>SUM(G71:G75)</f>
        <v>0</v>
      </c>
    </row>
    <row r="77" spans="1:7" s="298" customFormat="1" ht="21" customHeight="1">
      <c r="A77" s="547"/>
      <c r="B77" s="548"/>
      <c r="C77" s="549"/>
      <c r="D77" s="596"/>
      <c r="E77" s="550" t="s">
        <v>730</v>
      </c>
      <c r="F77" s="551">
        <f>F76+F69</f>
        <v>0</v>
      </c>
      <c r="G77" s="551">
        <f>G76+G69</f>
        <v>0</v>
      </c>
    </row>
    <row r="78" spans="1:7" s="546" customFormat="1">
      <c r="A78" s="535"/>
      <c r="B78" s="178"/>
      <c r="C78" s="536"/>
      <c r="D78" s="537"/>
      <c r="E78" s="535"/>
      <c r="F78" s="539"/>
      <c r="G78" s="539"/>
    </row>
    <row r="79" spans="1:7" s="546" customFormat="1">
      <c r="A79" s="540"/>
      <c r="B79" s="541"/>
      <c r="C79" s="542"/>
      <c r="D79" s="543"/>
      <c r="E79" s="540"/>
      <c r="F79" s="545"/>
      <c r="G79" s="545"/>
    </row>
    <row r="80" spans="1:7" s="76" customFormat="1" ht="21" customHeight="1">
      <c r="A80" s="79">
        <v>5</v>
      </c>
      <c r="B80" s="233" t="s">
        <v>773</v>
      </c>
      <c r="C80" s="81"/>
      <c r="D80" s="82"/>
      <c r="E80" s="83"/>
      <c r="F80" s="83"/>
      <c r="G80" s="589"/>
    </row>
    <row r="81" spans="1:7" s="436" customFormat="1">
      <c r="A81" s="264"/>
      <c r="B81" s="292"/>
      <c r="C81" s="292"/>
      <c r="D81" s="267" t="s">
        <v>376</v>
      </c>
      <c r="E81" s="116" t="s">
        <v>287</v>
      </c>
      <c r="F81" s="105" t="s">
        <v>584</v>
      </c>
      <c r="G81" s="105" t="s">
        <v>584</v>
      </c>
    </row>
    <row r="82" spans="1:7" s="452" customFormat="1">
      <c r="A82" s="269"/>
      <c r="B82" s="294"/>
      <c r="C82" s="294"/>
      <c r="D82" s="271"/>
      <c r="E82" s="295"/>
      <c r="F82" s="111" t="s">
        <v>583</v>
      </c>
      <c r="G82" s="111" t="s">
        <v>585</v>
      </c>
    </row>
    <row r="83" spans="1:7" s="298" customFormat="1">
      <c r="A83" s="11"/>
      <c r="B83" s="437" t="s">
        <v>566</v>
      </c>
      <c r="C83" s="14" t="s">
        <v>1313</v>
      </c>
      <c r="D83" s="2">
        <v>45</v>
      </c>
      <c r="E83" s="272">
        <v>1</v>
      </c>
      <c r="F83" s="273">
        <f>E83*D83</f>
        <v>45</v>
      </c>
      <c r="G83" s="273">
        <f>F83/15</f>
        <v>3</v>
      </c>
    </row>
    <row r="84" spans="1:7" s="298" customFormat="1">
      <c r="A84" s="11"/>
      <c r="B84" s="437" t="s">
        <v>567</v>
      </c>
      <c r="C84" s="14" t="s">
        <v>686</v>
      </c>
      <c r="D84" s="2"/>
      <c r="E84" s="272">
        <v>1</v>
      </c>
      <c r="F84" s="273">
        <f>E84*D84</f>
        <v>0</v>
      </c>
      <c r="G84" s="273">
        <f>F84/15</f>
        <v>0</v>
      </c>
    </row>
    <row r="85" spans="1:7" s="298" customFormat="1">
      <c r="A85" s="11"/>
      <c r="B85" s="437" t="s">
        <v>568</v>
      </c>
      <c r="C85" s="14" t="s">
        <v>686</v>
      </c>
      <c r="D85" s="2"/>
      <c r="E85" s="272">
        <v>1</v>
      </c>
      <c r="F85" s="273">
        <f>E85*D85</f>
        <v>0</v>
      </c>
      <c r="G85" s="273">
        <f>F85/15</f>
        <v>0</v>
      </c>
    </row>
    <row r="86" spans="1:7" s="298" customFormat="1">
      <c r="A86" s="11"/>
      <c r="B86" s="437" t="s">
        <v>569</v>
      </c>
      <c r="C86" s="14" t="s">
        <v>686</v>
      </c>
      <c r="D86" s="2"/>
      <c r="E86" s="272">
        <v>1</v>
      </c>
      <c r="F86" s="273">
        <f>E86*D86</f>
        <v>0</v>
      </c>
      <c r="G86" s="273">
        <f>F86/15</f>
        <v>0</v>
      </c>
    </row>
    <row r="87" spans="1:7" s="298" customFormat="1">
      <c r="A87" s="11"/>
      <c r="B87" s="437" t="s">
        <v>570</v>
      </c>
      <c r="C87" s="14" t="s">
        <v>686</v>
      </c>
      <c r="D87" s="2"/>
      <c r="E87" s="272">
        <v>1</v>
      </c>
      <c r="F87" s="273">
        <f>E87*D87</f>
        <v>0</v>
      </c>
      <c r="G87" s="273">
        <f>F87/15</f>
        <v>0</v>
      </c>
    </row>
    <row r="88" spans="1:7" s="298" customFormat="1">
      <c r="A88" s="305"/>
      <c r="B88" s="129"/>
      <c r="C88" s="300" t="s">
        <v>462</v>
      </c>
      <c r="D88" s="534"/>
      <c r="E88" s="302"/>
      <c r="F88" s="303">
        <f>SUM(F83:F87)</f>
        <v>45</v>
      </c>
      <c r="G88" s="303">
        <f>SUM(G83:G87)</f>
        <v>3</v>
      </c>
    </row>
  </sheetData>
  <sheetProtection password="C924" sheet="1"/>
  <phoneticPr fontId="42" type="noConversion"/>
  <pageMargins left="0.74803149606299213" right="0.74803149606299213" top="0.59055118110236227" bottom="0.39370078740157483" header="0.19685039370078741" footer="0.19685039370078741"/>
  <pageSetup paperSize="9" orientation="landscape" verticalDpi="0" r:id="rId1"/>
  <headerFooter alignWithMargins="0">
    <oddHeader>&amp;Rการคำนวณภาระงานอื่น ๆ  หน้าที่ &amp;P/&amp;N</oddHeader>
    <oddFooter>&amp;Lการคำนวณภาระงานอื่นๆ &amp;Cหน้าที่ 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7030A0"/>
  </sheetPr>
  <dimension ref="A1:D163"/>
  <sheetViews>
    <sheetView showGridLines="0" zoomScale="110" zoomScaleNormal="110" workbookViewId="0">
      <selection activeCell="F137" sqref="F137"/>
    </sheetView>
  </sheetViews>
  <sheetFormatPr defaultRowHeight="22.5"/>
  <cols>
    <col min="1" max="1" width="25.85546875" style="896" customWidth="1"/>
    <col min="2" max="2" width="19.85546875" style="896" customWidth="1"/>
    <col min="3" max="3" width="24.140625" style="896" customWidth="1"/>
    <col min="4" max="4" width="26.28515625" style="896" customWidth="1"/>
    <col min="5" max="16384" width="9.140625" style="896"/>
  </cols>
  <sheetData>
    <row r="1" spans="1:4" ht="24.75">
      <c r="A1" s="1395"/>
      <c r="B1" s="1395"/>
      <c r="C1" s="1395"/>
      <c r="D1" s="1395"/>
    </row>
    <row r="2" spans="1:4" ht="27">
      <c r="A2" s="1396" t="s">
        <v>379</v>
      </c>
      <c r="B2" s="1396"/>
      <c r="C2" s="1397"/>
      <c r="D2" s="1397"/>
    </row>
    <row r="3" spans="1:4" ht="20.25" customHeight="1">
      <c r="A3" s="1398" t="s">
        <v>1223</v>
      </c>
      <c r="B3" s="1398"/>
      <c r="C3" s="1398"/>
      <c r="D3" s="1398"/>
    </row>
    <row r="4" spans="1:4" ht="24.75">
      <c r="A4" s="897" t="s">
        <v>1336</v>
      </c>
    </row>
    <row r="5" spans="1:4" ht="24.75">
      <c r="A5" s="1399" t="s">
        <v>1335</v>
      </c>
      <c r="B5" s="1399"/>
      <c r="C5" s="1394"/>
      <c r="D5" s="1394"/>
    </row>
    <row r="6" spans="1:4" ht="117" customHeight="1">
      <c r="A6" s="1392" t="s">
        <v>1334</v>
      </c>
      <c r="B6" s="1392"/>
      <c r="C6" s="1392"/>
      <c r="D6" s="1392"/>
    </row>
    <row r="7" spans="1:4" ht="24.75" customHeight="1">
      <c r="A7" s="1393" t="s">
        <v>1333</v>
      </c>
      <c r="B7" s="1393"/>
      <c r="C7" s="1394"/>
      <c r="D7" s="1394"/>
    </row>
    <row r="8" spans="1:4" ht="92.25" customHeight="1">
      <c r="A8" s="1400" t="s">
        <v>1332</v>
      </c>
      <c r="B8" s="1400"/>
      <c r="C8" s="1400"/>
      <c r="D8" s="1400"/>
    </row>
    <row r="9" spans="1:4" ht="23.25" customHeight="1">
      <c r="A9" s="1392" t="s">
        <v>1328</v>
      </c>
      <c r="B9" s="1392"/>
      <c r="C9" s="1392"/>
      <c r="D9" s="1392"/>
    </row>
    <row r="10" spans="1:4" ht="138.75" customHeight="1">
      <c r="A10" s="1392" t="s">
        <v>1082</v>
      </c>
      <c r="B10" s="1392"/>
      <c r="C10" s="1392"/>
      <c r="D10" s="1392"/>
    </row>
    <row r="11" spans="1:4" ht="120.75" customHeight="1">
      <c r="A11" s="1392" t="s">
        <v>1081</v>
      </c>
      <c r="B11" s="1392"/>
      <c r="C11" s="1392"/>
      <c r="D11" s="1392"/>
    </row>
    <row r="12" spans="1:4" ht="69.75" customHeight="1">
      <c r="A12" s="1392" t="s">
        <v>1080</v>
      </c>
      <c r="B12" s="1392"/>
      <c r="C12" s="1392"/>
      <c r="D12" s="1392"/>
    </row>
    <row r="13" spans="1:4" ht="69" customHeight="1">
      <c r="A13" s="1392" t="s">
        <v>1079</v>
      </c>
      <c r="B13" s="1392"/>
      <c r="C13" s="1392"/>
      <c r="D13" s="1392"/>
    </row>
    <row r="14" spans="1:4" ht="69.75" customHeight="1">
      <c r="A14" s="1392" t="s">
        <v>1078</v>
      </c>
      <c r="B14" s="1392"/>
      <c r="C14" s="1392"/>
      <c r="D14" s="1392"/>
    </row>
    <row r="15" spans="1:4" ht="92.25" customHeight="1">
      <c r="A15" s="1392" t="s">
        <v>1077</v>
      </c>
      <c r="B15" s="1392"/>
      <c r="C15" s="1392"/>
      <c r="D15" s="1392"/>
    </row>
    <row r="16" spans="1:4" ht="24" customHeight="1">
      <c r="A16" s="1392" t="s">
        <v>1076</v>
      </c>
      <c r="B16" s="1392"/>
      <c r="C16" s="1392"/>
      <c r="D16" s="1392"/>
    </row>
    <row r="17" spans="1:4" ht="91.5" customHeight="1">
      <c r="A17" s="1392" t="s">
        <v>1260</v>
      </c>
      <c r="B17" s="1392"/>
      <c r="C17" s="1392"/>
      <c r="D17" s="1392"/>
    </row>
    <row r="18" spans="1:4" ht="49.5" customHeight="1">
      <c r="A18" s="1392" t="s">
        <v>1075</v>
      </c>
      <c r="B18" s="1392"/>
      <c r="C18" s="1392"/>
      <c r="D18" s="1392"/>
    </row>
    <row r="19" spans="1:4" ht="46.5" customHeight="1">
      <c r="A19" s="1401" t="s">
        <v>1074</v>
      </c>
      <c r="B19" s="1401"/>
      <c r="C19" s="1401"/>
      <c r="D19" s="1401"/>
    </row>
    <row r="20" spans="1:4" ht="70.5" customHeight="1">
      <c r="A20" s="1401" t="s">
        <v>1073</v>
      </c>
      <c r="B20" s="1401"/>
      <c r="C20" s="1401"/>
      <c r="D20" s="1401"/>
    </row>
    <row r="21" spans="1:4" ht="28.5" customHeight="1">
      <c r="A21" s="1401" t="s">
        <v>1072</v>
      </c>
      <c r="B21" s="1401"/>
      <c r="C21" s="1401"/>
      <c r="D21" s="1401"/>
    </row>
    <row r="22" spans="1:4">
      <c r="A22" s="899" t="s">
        <v>1063</v>
      </c>
      <c r="B22" s="900" t="s">
        <v>1044</v>
      </c>
      <c r="C22" s="1402" t="s">
        <v>1043</v>
      </c>
      <c r="D22" s="1403"/>
    </row>
    <row r="23" spans="1:4">
      <c r="A23" s="902" t="s">
        <v>488</v>
      </c>
      <c r="B23" s="903"/>
      <c r="C23" s="904"/>
      <c r="D23" s="905"/>
    </row>
    <row r="24" spans="1:4" ht="45">
      <c r="A24" s="902" t="s">
        <v>979</v>
      </c>
      <c r="B24" s="906" t="s">
        <v>1040</v>
      </c>
      <c r="C24" s="904" t="s">
        <v>1041</v>
      </c>
      <c r="D24" s="907">
        <v>3</v>
      </c>
    </row>
    <row r="25" spans="1:4">
      <c r="A25" s="902" t="s">
        <v>1071</v>
      </c>
      <c r="B25" s="906" t="s">
        <v>1040</v>
      </c>
      <c r="C25" s="904" t="s">
        <v>1061</v>
      </c>
      <c r="D25" s="908">
        <v>3.75</v>
      </c>
    </row>
    <row r="26" spans="1:4">
      <c r="A26" s="902" t="s">
        <v>1070</v>
      </c>
      <c r="B26" s="906" t="s">
        <v>1040</v>
      </c>
      <c r="C26" s="904" t="s">
        <v>1059</v>
      </c>
      <c r="D26" s="907">
        <v>4.5</v>
      </c>
    </row>
    <row r="27" spans="1:4">
      <c r="A27" s="902" t="s">
        <v>1069</v>
      </c>
      <c r="B27" s="906" t="s">
        <v>1040</v>
      </c>
      <c r="C27" s="904" t="s">
        <v>1057</v>
      </c>
      <c r="D27" s="908">
        <v>5.25</v>
      </c>
    </row>
    <row r="28" spans="1:4">
      <c r="A28" s="902" t="s">
        <v>1068</v>
      </c>
      <c r="B28" s="906" t="s">
        <v>1040</v>
      </c>
      <c r="C28" s="904" t="s">
        <v>1055</v>
      </c>
      <c r="D28" s="907">
        <v>6</v>
      </c>
    </row>
    <row r="29" spans="1:4">
      <c r="A29" s="902" t="s">
        <v>1067</v>
      </c>
      <c r="B29" s="906" t="s">
        <v>1040</v>
      </c>
      <c r="C29" s="904" t="s">
        <v>1053</v>
      </c>
      <c r="D29" s="908">
        <v>6.75</v>
      </c>
    </row>
    <row r="30" spans="1:4">
      <c r="A30" s="902" t="s">
        <v>1066</v>
      </c>
      <c r="B30" s="906" t="s">
        <v>1040</v>
      </c>
      <c r="C30" s="904" t="s">
        <v>1051</v>
      </c>
      <c r="D30" s="907">
        <v>7.5</v>
      </c>
    </row>
    <row r="31" spans="1:4">
      <c r="A31" s="902" t="s">
        <v>1065</v>
      </c>
      <c r="B31" s="906" t="s">
        <v>1040</v>
      </c>
      <c r="C31" s="904" t="s">
        <v>1049</v>
      </c>
      <c r="D31" s="908">
        <v>8.25</v>
      </c>
    </row>
    <row r="32" spans="1:4">
      <c r="A32" s="909" t="s">
        <v>1064</v>
      </c>
      <c r="B32" s="910" t="s">
        <v>1040</v>
      </c>
      <c r="C32" s="911" t="s">
        <v>1047</v>
      </c>
      <c r="D32" s="912">
        <v>9</v>
      </c>
    </row>
    <row r="33" spans="1:4">
      <c r="A33" s="913"/>
      <c r="B33" s="914"/>
      <c r="C33" s="915"/>
      <c r="D33" s="916"/>
    </row>
    <row r="34" spans="1:4">
      <c r="A34" s="899" t="s">
        <v>1063</v>
      </c>
      <c r="B34" s="917" t="s">
        <v>1044</v>
      </c>
      <c r="C34" s="1402" t="s">
        <v>1043</v>
      </c>
      <c r="D34" s="1403"/>
    </row>
    <row r="35" spans="1:4">
      <c r="A35" s="1404" t="s">
        <v>491</v>
      </c>
      <c r="B35" s="1405"/>
      <c r="C35" s="1405"/>
      <c r="D35" s="1406"/>
    </row>
    <row r="36" spans="1:4" ht="45">
      <c r="A36" s="902" t="s">
        <v>980</v>
      </c>
      <c r="B36" s="906" t="s">
        <v>1040</v>
      </c>
      <c r="C36" s="904" t="s">
        <v>1041</v>
      </c>
      <c r="D36" s="907">
        <v>3</v>
      </c>
    </row>
    <row r="37" spans="1:4">
      <c r="A37" s="902" t="s">
        <v>1062</v>
      </c>
      <c r="B37" s="906" t="s">
        <v>1040</v>
      </c>
      <c r="C37" s="904" t="s">
        <v>1061</v>
      </c>
      <c r="D37" s="908">
        <v>3.75</v>
      </c>
    </row>
    <row r="38" spans="1:4">
      <c r="A38" s="902" t="s">
        <v>1060</v>
      </c>
      <c r="B38" s="906" t="s">
        <v>1040</v>
      </c>
      <c r="C38" s="904" t="s">
        <v>1059</v>
      </c>
      <c r="D38" s="907">
        <v>4.5</v>
      </c>
    </row>
    <row r="39" spans="1:4">
      <c r="A39" s="902" t="s">
        <v>1058</v>
      </c>
      <c r="B39" s="906" t="s">
        <v>1040</v>
      </c>
      <c r="C39" s="904" t="s">
        <v>1057</v>
      </c>
      <c r="D39" s="908">
        <v>5.25</v>
      </c>
    </row>
    <row r="40" spans="1:4">
      <c r="A40" s="902" t="s">
        <v>1056</v>
      </c>
      <c r="B40" s="906" t="s">
        <v>1040</v>
      </c>
      <c r="C40" s="904" t="s">
        <v>1055</v>
      </c>
      <c r="D40" s="907">
        <v>6</v>
      </c>
    </row>
    <row r="41" spans="1:4">
      <c r="A41" s="902" t="s">
        <v>1054</v>
      </c>
      <c r="B41" s="906" t="s">
        <v>1040</v>
      </c>
      <c r="C41" s="904" t="s">
        <v>1053</v>
      </c>
      <c r="D41" s="908">
        <v>6.75</v>
      </c>
    </row>
    <row r="42" spans="1:4">
      <c r="A42" s="902" t="s">
        <v>1052</v>
      </c>
      <c r="B42" s="906" t="s">
        <v>1040</v>
      </c>
      <c r="C42" s="904" t="s">
        <v>1051</v>
      </c>
      <c r="D42" s="907">
        <v>7.5</v>
      </c>
    </row>
    <row r="43" spans="1:4">
      <c r="A43" s="902" t="s">
        <v>1050</v>
      </c>
      <c r="B43" s="906" t="s">
        <v>1040</v>
      </c>
      <c r="C43" s="904" t="s">
        <v>1049</v>
      </c>
      <c r="D43" s="908">
        <v>8.25</v>
      </c>
    </row>
    <row r="44" spans="1:4" ht="20.25" customHeight="1">
      <c r="A44" s="909" t="s">
        <v>1048</v>
      </c>
      <c r="B44" s="910" t="s">
        <v>1040</v>
      </c>
      <c r="C44" s="911" t="s">
        <v>1047</v>
      </c>
      <c r="D44" s="912">
        <v>9</v>
      </c>
    </row>
    <row r="45" spans="1:4" ht="67.5" customHeight="1">
      <c r="A45" s="1407" t="s">
        <v>1085</v>
      </c>
      <c r="B45" s="1407"/>
      <c r="C45" s="1407"/>
      <c r="D45" s="1407"/>
    </row>
    <row r="46" spans="1:4">
      <c r="A46" s="899" t="s">
        <v>1046</v>
      </c>
      <c r="B46" s="901" t="s">
        <v>1045</v>
      </c>
      <c r="C46" s="917" t="s">
        <v>1044</v>
      </c>
      <c r="D46" s="917" t="s">
        <v>1043</v>
      </c>
    </row>
    <row r="47" spans="1:4">
      <c r="A47" s="918" t="s">
        <v>1042</v>
      </c>
      <c r="B47" s="919">
        <v>1</v>
      </c>
      <c r="C47" s="920" t="s">
        <v>1040</v>
      </c>
      <c r="D47" s="921" t="s">
        <v>285</v>
      </c>
    </row>
    <row r="48" spans="1:4">
      <c r="A48" s="922" t="s">
        <v>1084</v>
      </c>
      <c r="B48" s="923">
        <v>0.75</v>
      </c>
      <c r="C48" s="924" t="s">
        <v>1040</v>
      </c>
      <c r="D48" s="925" t="s">
        <v>286</v>
      </c>
    </row>
    <row r="49" spans="1:4" ht="23.25" customHeight="1">
      <c r="A49" s="1409" t="s">
        <v>1039</v>
      </c>
      <c r="B49" s="1409"/>
      <c r="C49" s="1409"/>
      <c r="D49" s="1409"/>
    </row>
    <row r="50" spans="1:4" ht="23.25">
      <c r="A50" s="1408" t="s">
        <v>1038</v>
      </c>
      <c r="B50" s="1408"/>
      <c r="C50" s="1408"/>
      <c r="D50" s="1408"/>
    </row>
    <row r="51" spans="1:4" ht="45" customHeight="1">
      <c r="A51" s="1401" t="s">
        <v>1037</v>
      </c>
      <c r="B51" s="1401"/>
      <c r="C51" s="1401"/>
      <c r="D51" s="1401"/>
    </row>
    <row r="52" spans="1:4" ht="162" customHeight="1">
      <c r="A52" s="1401" t="s">
        <v>1036</v>
      </c>
      <c r="B52" s="1401"/>
      <c r="C52" s="1401"/>
      <c r="D52" s="1401"/>
    </row>
    <row r="53" spans="1:4" ht="23.25" customHeight="1">
      <c r="A53" s="1401" t="s">
        <v>888</v>
      </c>
      <c r="B53" s="1401"/>
      <c r="C53" s="1401"/>
      <c r="D53" s="1401"/>
    </row>
    <row r="54" spans="1:4" ht="40.5" customHeight="1">
      <c r="A54" s="1401" t="s">
        <v>380</v>
      </c>
      <c r="B54" s="1401"/>
      <c r="C54" s="1401"/>
      <c r="D54" s="1401"/>
    </row>
    <row r="55" spans="1:4" ht="42" customHeight="1">
      <c r="A55" s="1401" t="s">
        <v>981</v>
      </c>
      <c r="B55" s="1401"/>
      <c r="C55" s="1401"/>
      <c r="D55" s="1401"/>
    </row>
    <row r="56" spans="1:4" ht="66" customHeight="1">
      <c r="A56" s="1401" t="s">
        <v>982</v>
      </c>
      <c r="B56" s="1401"/>
      <c r="C56" s="1401"/>
      <c r="D56" s="1401"/>
    </row>
    <row r="57" spans="1:4" ht="67.5" customHeight="1">
      <c r="A57" s="1401" t="s">
        <v>887</v>
      </c>
      <c r="B57" s="1401"/>
      <c r="C57" s="1401"/>
      <c r="D57" s="1401"/>
    </row>
    <row r="58" spans="1:4" ht="49.5" customHeight="1">
      <c r="A58" s="1401" t="s">
        <v>886</v>
      </c>
      <c r="B58" s="1401"/>
      <c r="C58" s="1401"/>
      <c r="D58" s="1401"/>
    </row>
    <row r="59" spans="1:4" ht="45" customHeight="1">
      <c r="A59" s="1401" t="s">
        <v>885</v>
      </c>
      <c r="B59" s="1401"/>
      <c r="C59" s="1401"/>
      <c r="D59" s="1401"/>
    </row>
    <row r="60" spans="1:4" ht="48.75" customHeight="1">
      <c r="A60" s="1401" t="s">
        <v>884</v>
      </c>
      <c r="B60" s="1401"/>
      <c r="C60" s="1401"/>
      <c r="D60" s="1401"/>
    </row>
    <row r="61" spans="1:4" ht="66" customHeight="1">
      <c r="A61" s="1401" t="s">
        <v>883</v>
      </c>
      <c r="B61" s="1401"/>
      <c r="C61" s="1401"/>
      <c r="D61" s="1401"/>
    </row>
    <row r="62" spans="1:4" ht="45.75" customHeight="1">
      <c r="A62" s="1401" t="s">
        <v>882</v>
      </c>
      <c r="B62" s="1401"/>
      <c r="C62" s="1401"/>
      <c r="D62" s="1401"/>
    </row>
    <row r="63" spans="1:4" ht="36.75" customHeight="1">
      <c r="A63" s="1411" t="s">
        <v>881</v>
      </c>
      <c r="B63" s="1411"/>
      <c r="C63" s="1411"/>
      <c r="D63" s="1411"/>
    </row>
    <row r="64" spans="1:4" ht="23.25" customHeight="1">
      <c r="A64" s="1401" t="s">
        <v>880</v>
      </c>
      <c r="B64" s="1401"/>
      <c r="C64" s="1401"/>
      <c r="D64" s="1401"/>
    </row>
    <row r="65" spans="1:4" ht="27" customHeight="1">
      <c r="A65" s="1401" t="s">
        <v>879</v>
      </c>
      <c r="B65" s="1401"/>
      <c r="C65" s="1401"/>
      <c r="D65" s="1401"/>
    </row>
    <row r="66" spans="1:4" ht="24.75" customHeight="1">
      <c r="A66" s="1401" t="s">
        <v>878</v>
      </c>
      <c r="B66" s="1401"/>
      <c r="C66" s="1401"/>
      <c r="D66" s="1401"/>
    </row>
    <row r="67" spans="1:4" ht="23.25" customHeight="1">
      <c r="A67" s="1401" t="s">
        <v>877</v>
      </c>
      <c r="B67" s="1401"/>
      <c r="C67" s="1401"/>
      <c r="D67" s="1401"/>
    </row>
    <row r="68" spans="1:4" ht="23.25" customHeight="1">
      <c r="A68" s="1401" t="s">
        <v>876</v>
      </c>
      <c r="B68" s="1401"/>
      <c r="C68" s="1401"/>
      <c r="D68" s="1401"/>
    </row>
    <row r="69" spans="1:4" ht="44.25" customHeight="1">
      <c r="A69" s="1401" t="s">
        <v>875</v>
      </c>
      <c r="B69" s="1401"/>
      <c r="C69" s="1401"/>
      <c r="D69" s="1401"/>
    </row>
    <row r="70" spans="1:4" ht="25.5" customHeight="1">
      <c r="A70" s="1401" t="s">
        <v>874</v>
      </c>
      <c r="B70" s="1401"/>
      <c r="C70" s="1401"/>
      <c r="D70" s="1401"/>
    </row>
    <row r="71" spans="1:4" ht="67.5" customHeight="1">
      <c r="A71" s="1401" t="s">
        <v>873</v>
      </c>
      <c r="B71" s="1401"/>
      <c r="C71" s="1401"/>
      <c r="D71" s="1401"/>
    </row>
    <row r="72" spans="1:4" ht="23.25">
      <c r="A72" s="898"/>
      <c r="B72" s="898"/>
      <c r="C72" s="898"/>
      <c r="D72" s="898"/>
    </row>
    <row r="73" spans="1:4" ht="23.25">
      <c r="A73" s="898"/>
      <c r="B73" s="898"/>
      <c r="C73" s="898"/>
      <c r="D73" s="898"/>
    </row>
    <row r="74" spans="1:4" ht="23.25">
      <c r="A74" s="898"/>
      <c r="B74" s="898"/>
      <c r="C74" s="898"/>
      <c r="D74" s="898"/>
    </row>
    <row r="75" spans="1:4" ht="23.25">
      <c r="A75" s="898"/>
      <c r="B75" s="898"/>
      <c r="C75" s="898"/>
      <c r="D75" s="898"/>
    </row>
    <row r="76" spans="1:4" ht="23.25">
      <c r="A76" s="898"/>
      <c r="B76" s="898"/>
      <c r="C76" s="898"/>
      <c r="D76" s="898"/>
    </row>
    <row r="77" spans="1:4" s="929" customFormat="1" ht="24.75" customHeight="1">
      <c r="A77" s="926" t="s">
        <v>872</v>
      </c>
      <c r="B77" s="927" t="s">
        <v>846</v>
      </c>
      <c r="C77" s="928" t="s">
        <v>871</v>
      </c>
      <c r="D77" s="927" t="s">
        <v>846</v>
      </c>
    </row>
    <row r="78" spans="1:4" s="929" customFormat="1" ht="24" customHeight="1">
      <c r="A78" s="930" t="s">
        <v>870</v>
      </c>
      <c r="B78" s="931">
        <f>15+TRUNC(9000/10000,0 )*0.3</f>
        <v>15</v>
      </c>
      <c r="C78" s="932" t="s">
        <v>869</v>
      </c>
      <c r="D78" s="933">
        <f>15+TRUNC(0/5000,0 )*0.3</f>
        <v>15</v>
      </c>
    </row>
    <row r="79" spans="1:4" s="929" customFormat="1" ht="25.5" customHeight="1">
      <c r="A79" s="934" t="s">
        <v>868</v>
      </c>
      <c r="B79" s="931">
        <f>15+TRUNC(10000/10000,0 )*0.3</f>
        <v>15.3</v>
      </c>
      <c r="C79" s="935" t="s">
        <v>867</v>
      </c>
      <c r="D79" s="936">
        <f>15+TRUNC(9000/5000,0 )*0.3</f>
        <v>15.3</v>
      </c>
    </row>
    <row r="80" spans="1:4" s="929" customFormat="1" ht="22.5" customHeight="1">
      <c r="A80" s="934" t="s">
        <v>866</v>
      </c>
      <c r="B80" s="931">
        <f>15+TRUNC(29000/10000,0 )*0.3</f>
        <v>15.6</v>
      </c>
      <c r="C80" s="935" t="s">
        <v>865</v>
      </c>
      <c r="D80" s="936">
        <f>15+TRUNC(14900/5000,0 )*0.3</f>
        <v>15.6</v>
      </c>
    </row>
    <row r="81" spans="1:4" s="929" customFormat="1" ht="22.5" customHeight="1">
      <c r="A81" s="934" t="s">
        <v>864</v>
      </c>
      <c r="B81" s="931">
        <f>15+TRUNC(35000/10000,0 )*0.3</f>
        <v>15.9</v>
      </c>
      <c r="C81" s="935" t="s">
        <v>863</v>
      </c>
      <c r="D81" s="936">
        <f>15+TRUNC(16000/5000,0 )*0.3</f>
        <v>15.9</v>
      </c>
    </row>
    <row r="82" spans="1:4" s="929" customFormat="1" ht="27.75" customHeight="1">
      <c r="A82" s="934" t="s">
        <v>862</v>
      </c>
      <c r="B82" s="931">
        <f>15+TRUNC(46500/10000,0 )*0.3</f>
        <v>16.2</v>
      </c>
      <c r="C82" s="935" t="s">
        <v>861</v>
      </c>
      <c r="D82" s="936">
        <f>15+TRUNC(21000/5000,0 )*0.3</f>
        <v>16.2</v>
      </c>
    </row>
    <row r="83" spans="1:4" s="929" customFormat="1" ht="21.75" customHeight="1">
      <c r="A83" s="934" t="s">
        <v>860</v>
      </c>
      <c r="B83" s="931">
        <f>15+TRUNC(55600/10000,0 )*0.3</f>
        <v>16.5</v>
      </c>
      <c r="C83" s="935" t="s">
        <v>859</v>
      </c>
      <c r="D83" s="936">
        <f>15+TRUNC(25000/5000,0 )*0.3</f>
        <v>16.5</v>
      </c>
    </row>
    <row r="84" spans="1:4" s="929" customFormat="1" ht="23.25">
      <c r="A84" s="937" t="s">
        <v>858</v>
      </c>
      <c r="B84" s="938"/>
      <c r="C84" s="935" t="s">
        <v>857</v>
      </c>
      <c r="D84" s="939"/>
    </row>
    <row r="85" spans="1:4" s="929" customFormat="1" ht="23.25">
      <c r="A85" s="1415" t="s">
        <v>856</v>
      </c>
      <c r="B85" s="1416"/>
      <c r="C85" s="940" t="s">
        <v>855</v>
      </c>
      <c r="D85" s="941"/>
    </row>
    <row r="86" spans="1:4" s="929" customFormat="1" ht="23.25">
      <c r="A86" s="1415" t="s">
        <v>854</v>
      </c>
      <c r="B86" s="1416"/>
      <c r="C86" s="1415" t="s">
        <v>853</v>
      </c>
      <c r="D86" s="1416"/>
    </row>
    <row r="87" spans="1:4" s="929" customFormat="1" ht="23.25">
      <c r="A87" s="1417" t="s">
        <v>852</v>
      </c>
      <c r="B87" s="1417"/>
      <c r="C87" s="1417"/>
      <c r="D87" s="1417"/>
    </row>
    <row r="88" spans="1:4" s="929" customFormat="1" ht="23.25">
      <c r="A88" s="1408" t="s">
        <v>851</v>
      </c>
      <c r="B88" s="1408"/>
      <c r="C88" s="1410"/>
      <c r="D88" s="1410"/>
    </row>
    <row r="89" spans="1:4" s="929" customFormat="1" ht="23.25">
      <c r="A89" s="1408" t="s">
        <v>850</v>
      </c>
      <c r="B89" s="1418"/>
      <c r="C89" s="1418"/>
      <c r="D89" s="1418"/>
    </row>
    <row r="90" spans="1:4" s="929" customFormat="1" ht="23.25">
      <c r="A90" s="1408" t="s">
        <v>849</v>
      </c>
      <c r="B90" s="1418"/>
      <c r="C90" s="1418"/>
      <c r="D90" s="1418"/>
    </row>
    <row r="91" spans="1:4" s="929" customFormat="1" ht="23.25">
      <c r="A91" s="943" t="s">
        <v>848</v>
      </c>
      <c r="B91" s="935"/>
      <c r="C91" s="935"/>
      <c r="D91" s="935"/>
    </row>
    <row r="92" spans="1:4" s="929" customFormat="1" ht="23.25">
      <c r="A92" s="944" t="s">
        <v>847</v>
      </c>
      <c r="B92" s="927" t="s">
        <v>846</v>
      </c>
      <c r="C92" s="935"/>
      <c r="D92" s="935"/>
    </row>
    <row r="93" spans="1:4" s="929" customFormat="1" ht="23.25">
      <c r="A93" s="945">
        <v>1</v>
      </c>
      <c r="B93" s="945">
        <v>30</v>
      </c>
      <c r="C93" s="935"/>
      <c r="D93" s="935"/>
    </row>
    <row r="94" spans="1:4" s="929" customFormat="1" ht="23.25">
      <c r="A94" s="945">
        <v>2</v>
      </c>
      <c r="B94" s="945">
        <v>45</v>
      </c>
      <c r="C94" s="935"/>
      <c r="D94" s="935"/>
    </row>
    <row r="95" spans="1:4" s="929" customFormat="1" ht="23.25">
      <c r="A95" s="945">
        <v>3</v>
      </c>
      <c r="B95" s="945">
        <v>60</v>
      </c>
      <c r="C95" s="935"/>
      <c r="D95" s="935"/>
    </row>
    <row r="96" spans="1:4" s="929" customFormat="1" ht="23.25">
      <c r="A96" s="945">
        <v>4</v>
      </c>
      <c r="B96" s="945">
        <v>75</v>
      </c>
      <c r="C96" s="935"/>
      <c r="D96" s="935"/>
    </row>
    <row r="97" spans="1:4" s="929" customFormat="1" ht="23.25">
      <c r="A97" s="945">
        <v>5</v>
      </c>
      <c r="B97" s="945">
        <v>90</v>
      </c>
      <c r="C97" s="935"/>
      <c r="D97" s="935"/>
    </row>
    <row r="98" spans="1:4" s="929" customFormat="1" ht="23.25">
      <c r="A98" s="945">
        <v>6</v>
      </c>
      <c r="B98" s="945">
        <v>105</v>
      </c>
      <c r="C98" s="935"/>
      <c r="D98" s="935"/>
    </row>
    <row r="99" spans="1:4" s="929" customFormat="1" ht="23.25">
      <c r="A99" s="946" t="s">
        <v>845</v>
      </c>
      <c r="B99" s="946">
        <v>105</v>
      </c>
      <c r="C99" s="935"/>
      <c r="D99" s="935"/>
    </row>
    <row r="100" spans="1:4" s="929" customFormat="1" ht="23.25">
      <c r="A100" s="1401" t="s">
        <v>844</v>
      </c>
      <c r="B100" s="1401"/>
      <c r="C100" s="1410"/>
      <c r="D100" s="1410"/>
    </row>
    <row r="101" spans="1:4" s="929" customFormat="1" ht="23.25">
      <c r="A101" s="1401" t="s">
        <v>843</v>
      </c>
      <c r="B101" s="1401"/>
      <c r="C101" s="1410"/>
      <c r="D101" s="1410"/>
    </row>
    <row r="102" spans="1:4" s="929" customFormat="1" ht="23.25">
      <c r="A102" s="1401" t="s">
        <v>842</v>
      </c>
      <c r="B102" s="1401"/>
      <c r="C102" s="1410"/>
      <c r="D102" s="1410"/>
    </row>
    <row r="103" spans="1:4" s="929" customFormat="1" ht="23.25">
      <c r="A103" s="1401" t="s">
        <v>841</v>
      </c>
      <c r="B103" s="1401"/>
      <c r="C103" s="1410"/>
      <c r="D103" s="1410"/>
    </row>
    <row r="104" spans="1:4" s="929" customFormat="1" ht="23.25">
      <c r="A104" s="1401" t="s">
        <v>839</v>
      </c>
      <c r="B104" s="1401"/>
      <c r="C104" s="1410"/>
      <c r="D104" s="1410"/>
    </row>
    <row r="105" spans="1:4" s="929" customFormat="1" ht="23.25">
      <c r="A105" s="898"/>
      <c r="B105" s="898"/>
      <c r="C105" s="942"/>
      <c r="D105" s="942"/>
    </row>
    <row r="106" spans="1:4" s="929" customFormat="1" ht="23.25">
      <c r="A106" s="898"/>
      <c r="B106" s="898"/>
      <c r="C106" s="942"/>
      <c r="D106" s="942"/>
    </row>
    <row r="107" spans="1:4" s="929" customFormat="1" ht="23.25">
      <c r="A107" s="898"/>
      <c r="B107" s="898"/>
      <c r="C107" s="942"/>
      <c r="D107" s="942"/>
    </row>
    <row r="108" spans="1:4" s="929" customFormat="1" ht="23.25">
      <c r="A108" s="898"/>
      <c r="B108" s="898"/>
      <c r="C108" s="942"/>
      <c r="D108" s="942"/>
    </row>
    <row r="109" spans="1:4" s="929" customFormat="1" ht="23.25">
      <c r="A109" s="898"/>
      <c r="B109" s="898"/>
      <c r="C109" s="942"/>
      <c r="D109" s="942"/>
    </row>
    <row r="110" spans="1:4" s="929" customFormat="1" ht="23.25">
      <c r="A110" s="1412" t="s">
        <v>838</v>
      </c>
      <c r="B110" s="1412"/>
      <c r="C110" s="1413"/>
      <c r="D110" s="1413"/>
    </row>
    <row r="111" spans="1:4" s="929" customFormat="1" ht="23.25">
      <c r="A111" s="1401" t="s">
        <v>837</v>
      </c>
      <c r="B111" s="1401"/>
      <c r="C111" s="1410"/>
      <c r="D111" s="1410"/>
    </row>
    <row r="112" spans="1:4" s="929" customFormat="1" ht="46.5">
      <c r="A112" s="898" t="s">
        <v>836</v>
      </c>
      <c r="B112" s="898"/>
      <c r="C112" s="942"/>
      <c r="D112" s="942"/>
    </row>
    <row r="113" spans="1:4" s="929" customFormat="1" ht="23.25">
      <c r="A113" s="1401" t="s">
        <v>835</v>
      </c>
      <c r="B113" s="1414"/>
      <c r="C113" s="1414"/>
      <c r="D113" s="1414"/>
    </row>
    <row r="114" spans="1:4" s="929" customFormat="1" ht="23.25">
      <c r="A114" s="1401" t="s">
        <v>834</v>
      </c>
      <c r="B114" s="1401"/>
      <c r="C114" s="1410"/>
      <c r="D114" s="1410"/>
    </row>
    <row r="115" spans="1:4" s="929" customFormat="1" ht="23.25">
      <c r="A115" s="1401" t="s">
        <v>833</v>
      </c>
      <c r="B115" s="1401"/>
      <c r="C115" s="1410"/>
      <c r="D115" s="1410"/>
    </row>
    <row r="116" spans="1:4" s="929" customFormat="1" ht="23.25">
      <c r="A116" s="1401" t="s">
        <v>832</v>
      </c>
      <c r="B116" s="1401"/>
      <c r="C116" s="1410"/>
      <c r="D116" s="1410"/>
    </row>
    <row r="117" spans="1:4" s="929" customFormat="1" ht="23.25">
      <c r="A117" s="1401" t="s">
        <v>831</v>
      </c>
      <c r="B117" s="1414"/>
      <c r="C117" s="1414"/>
      <c r="D117" s="1414"/>
    </row>
    <row r="118" spans="1:4" s="929" customFormat="1" ht="23.25">
      <c r="A118" s="1401" t="s">
        <v>830</v>
      </c>
      <c r="B118" s="1401"/>
      <c r="C118" s="1410"/>
      <c r="D118" s="1410"/>
    </row>
    <row r="119" spans="1:4" s="929" customFormat="1" ht="23.25">
      <c r="A119" s="1401" t="s">
        <v>829</v>
      </c>
      <c r="B119" s="1401"/>
      <c r="C119" s="1410"/>
      <c r="D119" s="1410"/>
    </row>
    <row r="120" spans="1:4" s="929" customFormat="1" ht="23.25">
      <c r="A120" s="1401" t="s">
        <v>828</v>
      </c>
      <c r="B120" s="1401"/>
      <c r="C120" s="1401"/>
      <c r="D120" s="1401"/>
    </row>
    <row r="121" spans="1:4" s="929" customFormat="1" ht="48" customHeight="1">
      <c r="A121" s="1401" t="s">
        <v>827</v>
      </c>
      <c r="B121" s="1401"/>
      <c r="C121" s="1401"/>
      <c r="D121" s="1401"/>
    </row>
    <row r="122" spans="1:4" s="929" customFormat="1" ht="23.25">
      <c r="A122" s="1401" t="s">
        <v>826</v>
      </c>
      <c r="B122" s="1401"/>
      <c r="C122" s="1401"/>
      <c r="D122" s="1401"/>
    </row>
    <row r="123" spans="1:4" s="929" customFormat="1" ht="23.25">
      <c r="A123" s="947" t="s">
        <v>825</v>
      </c>
      <c r="B123" s="947"/>
      <c r="C123" s="947"/>
      <c r="D123" s="947"/>
    </row>
    <row r="124" spans="1:4" ht="163.5" customHeight="1">
      <c r="A124" s="1408" t="s">
        <v>1225</v>
      </c>
      <c r="B124" s="1408"/>
      <c r="C124" s="1408"/>
      <c r="D124" s="1408"/>
    </row>
    <row r="125" spans="1:4" ht="93.75" customHeight="1">
      <c r="A125" s="1408" t="s">
        <v>824</v>
      </c>
      <c r="B125" s="1408"/>
      <c r="C125" s="1408"/>
      <c r="D125" s="1408"/>
    </row>
    <row r="126" spans="1:4" ht="67.5" customHeight="1">
      <c r="A126" s="1408" t="s">
        <v>1224</v>
      </c>
      <c r="B126" s="1408"/>
      <c r="C126" s="1408"/>
      <c r="D126" s="1408"/>
    </row>
    <row r="127" spans="1:4" ht="69.75" customHeight="1">
      <c r="A127" s="1420" t="s">
        <v>1264</v>
      </c>
      <c r="B127" s="1420"/>
      <c r="C127" s="1420"/>
      <c r="D127" s="1420"/>
    </row>
    <row r="128" spans="1:4" ht="69.75" customHeight="1">
      <c r="A128" s="1420" t="s">
        <v>1226</v>
      </c>
      <c r="B128" s="1420"/>
      <c r="C128" s="1420"/>
      <c r="D128" s="1420"/>
    </row>
    <row r="129" spans="1:4" ht="93.75" customHeight="1">
      <c r="A129" s="1420" t="s">
        <v>1227</v>
      </c>
      <c r="B129" s="1420"/>
      <c r="C129" s="1420"/>
      <c r="D129" s="1420"/>
    </row>
    <row r="130" spans="1:4" ht="72.75" customHeight="1">
      <c r="A130" s="1408" t="s">
        <v>1228</v>
      </c>
      <c r="B130" s="1408"/>
      <c r="C130" s="1408"/>
      <c r="D130" s="1408"/>
    </row>
    <row r="131" spans="1:4" ht="97.5" customHeight="1">
      <c r="A131" s="1408" t="s">
        <v>1229</v>
      </c>
      <c r="B131" s="1408"/>
      <c r="C131" s="1408"/>
      <c r="D131" s="1408"/>
    </row>
    <row r="132" spans="1:4" ht="24.75" customHeight="1">
      <c r="A132" s="1408" t="s">
        <v>823</v>
      </c>
      <c r="B132" s="1408"/>
      <c r="C132" s="1408"/>
      <c r="D132" s="1408"/>
    </row>
    <row r="133" spans="1:4" ht="23.25">
      <c r="A133" s="935" t="s">
        <v>1230</v>
      </c>
      <c r="B133" s="935"/>
      <c r="C133" s="935"/>
      <c r="D133" s="935"/>
    </row>
    <row r="134" spans="1:4" ht="23.25">
      <c r="A134" s="935" t="s">
        <v>1231</v>
      </c>
      <c r="B134" s="935"/>
      <c r="C134" s="935"/>
      <c r="D134" s="935"/>
    </row>
    <row r="135" spans="1:4">
      <c r="A135" s="948"/>
      <c r="B135" s="948"/>
      <c r="C135" s="949"/>
      <c r="D135" s="949"/>
    </row>
    <row r="136" spans="1:4" ht="24.75">
      <c r="A136" s="1419" t="s">
        <v>1182</v>
      </c>
      <c r="B136" s="1419"/>
      <c r="C136" s="1419"/>
      <c r="D136" s="935"/>
    </row>
    <row r="137" spans="1:4" ht="289.5" customHeight="1">
      <c r="A137" s="1421" t="s">
        <v>1265</v>
      </c>
      <c r="B137" s="1421"/>
      <c r="C137" s="1421"/>
      <c r="D137" s="1421"/>
    </row>
    <row r="138" spans="1:4" ht="42" customHeight="1">
      <c r="A138" s="1422" t="s">
        <v>1263</v>
      </c>
      <c r="B138" s="1422"/>
      <c r="C138" s="1422"/>
      <c r="D138" s="1422"/>
    </row>
    <row r="139" spans="1:4" ht="23.25" customHeight="1">
      <c r="A139" s="1401" t="s">
        <v>822</v>
      </c>
      <c r="B139" s="1401"/>
      <c r="C139" s="1401"/>
      <c r="D139" s="1401"/>
    </row>
    <row r="140" spans="1:4" ht="45" customHeight="1">
      <c r="A140" s="1401" t="s">
        <v>821</v>
      </c>
      <c r="B140" s="1401"/>
      <c r="C140" s="1401"/>
      <c r="D140" s="1401"/>
    </row>
    <row r="141" spans="1:4" ht="50.25" customHeight="1">
      <c r="A141" s="1401" t="s">
        <v>820</v>
      </c>
      <c r="B141" s="1401"/>
      <c r="C141" s="1401"/>
      <c r="D141" s="1401"/>
    </row>
    <row r="142" spans="1:4" ht="49.5" customHeight="1">
      <c r="A142" s="1401" t="s">
        <v>819</v>
      </c>
      <c r="B142" s="1401"/>
      <c r="C142" s="1401"/>
      <c r="D142" s="1401"/>
    </row>
    <row r="143" spans="1:4" ht="52.5" customHeight="1">
      <c r="A143" s="1401" t="s">
        <v>818</v>
      </c>
      <c r="B143" s="1401"/>
      <c r="C143" s="1401"/>
      <c r="D143" s="1401"/>
    </row>
    <row r="144" spans="1:4" ht="52.5" customHeight="1">
      <c r="A144" s="1401" t="s">
        <v>817</v>
      </c>
      <c r="B144" s="1401"/>
      <c r="C144" s="1401"/>
      <c r="D144" s="1401"/>
    </row>
    <row r="145" spans="1:4">
      <c r="A145" s="948"/>
      <c r="B145" s="948"/>
      <c r="C145" s="949"/>
      <c r="D145" s="949"/>
    </row>
    <row r="146" spans="1:4" ht="24.75">
      <c r="A146" s="1419" t="s">
        <v>816</v>
      </c>
      <c r="B146" s="1419"/>
      <c r="C146" s="1419"/>
      <c r="D146" s="935"/>
    </row>
    <row r="147" spans="1:4" ht="23.25" customHeight="1">
      <c r="A147" s="1401" t="s">
        <v>815</v>
      </c>
      <c r="B147" s="1401"/>
      <c r="C147" s="1401"/>
      <c r="D147" s="1401"/>
    </row>
    <row r="148" spans="1:4" ht="23.25">
      <c r="A148" s="935" t="s">
        <v>814</v>
      </c>
      <c r="B148" s="935"/>
      <c r="C148" s="935"/>
      <c r="D148" s="935"/>
    </row>
    <row r="149" spans="1:4" ht="23.25" customHeight="1">
      <c r="A149" s="1401" t="s">
        <v>813</v>
      </c>
      <c r="B149" s="1401"/>
      <c r="C149" s="1401"/>
      <c r="D149" s="1401"/>
    </row>
    <row r="150" spans="1:4" ht="72" customHeight="1">
      <c r="A150" s="1401" t="s">
        <v>812</v>
      </c>
      <c r="B150" s="1401"/>
      <c r="C150" s="1401"/>
      <c r="D150" s="1401"/>
    </row>
    <row r="151" spans="1:4" ht="21" customHeight="1">
      <c r="A151" s="898"/>
      <c r="B151" s="898"/>
      <c r="C151" s="898"/>
      <c r="D151" s="898"/>
    </row>
    <row r="152" spans="1:4" ht="24.75">
      <c r="A152" s="1419" t="s">
        <v>811</v>
      </c>
      <c r="B152" s="1419"/>
      <c r="C152" s="1419"/>
      <c r="D152" s="935"/>
    </row>
    <row r="153" spans="1:4" ht="23.25" customHeight="1">
      <c r="A153" s="1401" t="s">
        <v>810</v>
      </c>
      <c r="B153" s="1401"/>
      <c r="C153" s="1401"/>
      <c r="D153" s="1401"/>
    </row>
    <row r="154" spans="1:4" ht="23.25">
      <c r="A154" s="935" t="s">
        <v>809</v>
      </c>
      <c r="B154" s="935"/>
      <c r="C154" s="935"/>
      <c r="D154" s="935"/>
    </row>
    <row r="155" spans="1:4" ht="23.25" customHeight="1">
      <c r="A155" s="1401" t="s">
        <v>808</v>
      </c>
      <c r="B155" s="1401"/>
      <c r="C155" s="1401"/>
      <c r="D155" s="1401"/>
    </row>
    <row r="156" spans="1:4" ht="45" customHeight="1">
      <c r="A156" s="1401" t="s">
        <v>807</v>
      </c>
      <c r="B156" s="1401"/>
      <c r="C156" s="1401"/>
      <c r="D156" s="1401"/>
    </row>
    <row r="157" spans="1:4" ht="74.25" customHeight="1">
      <c r="A157" s="1401" t="s">
        <v>806</v>
      </c>
      <c r="B157" s="1401"/>
      <c r="C157" s="1401"/>
      <c r="D157" s="1401"/>
    </row>
    <row r="158" spans="1:4" ht="68.25" customHeight="1">
      <c r="A158" s="1401" t="s">
        <v>805</v>
      </c>
      <c r="B158" s="1401"/>
      <c r="C158" s="1401"/>
      <c r="D158" s="1401"/>
    </row>
    <row r="159" spans="1:4" ht="29.25" customHeight="1">
      <c r="A159" s="1401" t="s">
        <v>800</v>
      </c>
      <c r="B159" s="1401"/>
      <c r="C159" s="1401"/>
      <c r="D159" s="1401"/>
    </row>
    <row r="160" spans="1:4" ht="90.75" customHeight="1">
      <c r="A160" s="1401" t="s">
        <v>799</v>
      </c>
      <c r="B160" s="1401"/>
      <c r="C160" s="1401"/>
      <c r="D160" s="1401"/>
    </row>
    <row r="161" spans="1:4">
      <c r="A161" s="948"/>
      <c r="B161" s="948"/>
      <c r="C161" s="949"/>
      <c r="D161" s="949"/>
    </row>
    <row r="162" spans="1:4" ht="28.5" customHeight="1">
      <c r="A162" s="950" t="s">
        <v>798</v>
      </c>
      <c r="B162" s="898"/>
      <c r="C162" s="935"/>
      <c r="D162" s="935"/>
    </row>
    <row r="163" spans="1:4" ht="49.5" customHeight="1">
      <c r="A163" s="1401" t="s">
        <v>797</v>
      </c>
      <c r="B163" s="1401"/>
      <c r="C163" s="1401"/>
      <c r="D163" s="1401"/>
    </row>
  </sheetData>
  <mergeCells count="102">
    <mergeCell ref="A137:D137"/>
    <mergeCell ref="A138:D138"/>
    <mergeCell ref="A152:C152"/>
    <mergeCell ref="A153:D153"/>
    <mergeCell ref="A155:D155"/>
    <mergeCell ref="A139:D139"/>
    <mergeCell ref="A140:D140"/>
    <mergeCell ref="A143:D143"/>
    <mergeCell ref="A141:D141"/>
    <mergeCell ref="A142:D142"/>
    <mergeCell ref="A159:D159"/>
    <mergeCell ref="A160:D160"/>
    <mergeCell ref="A163:D163"/>
    <mergeCell ref="A158:D158"/>
    <mergeCell ref="A144:D144"/>
    <mergeCell ref="A146:C146"/>
    <mergeCell ref="A147:D147"/>
    <mergeCell ref="A149:D149"/>
    <mergeCell ref="A157:D157"/>
    <mergeCell ref="A150:D150"/>
    <mergeCell ref="A156:D156"/>
    <mergeCell ref="A122:D122"/>
    <mergeCell ref="A124:D124"/>
    <mergeCell ref="A111:D111"/>
    <mergeCell ref="A113:D113"/>
    <mergeCell ref="A114:D114"/>
    <mergeCell ref="A115:D115"/>
    <mergeCell ref="A120:D120"/>
    <mergeCell ref="A121:D121"/>
    <mergeCell ref="A136:C136"/>
    <mergeCell ref="A125:D125"/>
    <mergeCell ref="A126:D126"/>
    <mergeCell ref="A127:D127"/>
    <mergeCell ref="A128:D128"/>
    <mergeCell ref="A129:D129"/>
    <mergeCell ref="A130:D130"/>
    <mergeCell ref="A131:D131"/>
    <mergeCell ref="A132:D132"/>
    <mergeCell ref="A110:D110"/>
    <mergeCell ref="A118:D118"/>
    <mergeCell ref="A119:D119"/>
    <mergeCell ref="A116:D116"/>
    <mergeCell ref="A117:D117"/>
    <mergeCell ref="A71:D71"/>
    <mergeCell ref="A85:B85"/>
    <mergeCell ref="A102:D102"/>
    <mergeCell ref="A103:D103"/>
    <mergeCell ref="A87:D87"/>
    <mergeCell ref="A101:D101"/>
    <mergeCell ref="A89:D89"/>
    <mergeCell ref="A90:D90"/>
    <mergeCell ref="A86:B86"/>
    <mergeCell ref="C86:D86"/>
    <mergeCell ref="A104:D104"/>
    <mergeCell ref="A88:D88"/>
    <mergeCell ref="A59:D59"/>
    <mergeCell ref="A60:D60"/>
    <mergeCell ref="A61:D61"/>
    <mergeCell ref="A62:D62"/>
    <mergeCell ref="A70:D70"/>
    <mergeCell ref="A100:D100"/>
    <mergeCell ref="A67:D67"/>
    <mergeCell ref="A68:D68"/>
    <mergeCell ref="A69:D69"/>
    <mergeCell ref="A63:D63"/>
    <mergeCell ref="A64:D64"/>
    <mergeCell ref="A65:D65"/>
    <mergeCell ref="A66:D66"/>
    <mergeCell ref="A55:D55"/>
    <mergeCell ref="A56:D56"/>
    <mergeCell ref="A57:D57"/>
    <mergeCell ref="A20:D20"/>
    <mergeCell ref="A21:D21"/>
    <mergeCell ref="C22:D22"/>
    <mergeCell ref="C34:D34"/>
    <mergeCell ref="A58:D58"/>
    <mergeCell ref="A53:D53"/>
    <mergeCell ref="A54:D54"/>
    <mergeCell ref="A35:D35"/>
    <mergeCell ref="A45:D45"/>
    <mergeCell ref="A50:D50"/>
    <mergeCell ref="A51:D51"/>
    <mergeCell ref="A52:D52"/>
    <mergeCell ref="A49:D49"/>
    <mergeCell ref="A11:D11"/>
    <mergeCell ref="A15:D15"/>
    <mergeCell ref="A16:D16"/>
    <mergeCell ref="A17:D17"/>
    <mergeCell ref="A12:D12"/>
    <mergeCell ref="A13:D13"/>
    <mergeCell ref="A14:D14"/>
    <mergeCell ref="A18:D18"/>
    <mergeCell ref="A19:D19"/>
    <mergeCell ref="A6:D6"/>
    <mergeCell ref="A7:D7"/>
    <mergeCell ref="A1:D1"/>
    <mergeCell ref="A2:D2"/>
    <mergeCell ref="A3:D3"/>
    <mergeCell ref="A5:D5"/>
    <mergeCell ref="A8:D8"/>
    <mergeCell ref="A9:D9"/>
    <mergeCell ref="A10:D10"/>
  </mergeCells>
  <phoneticPr fontId="109" type="noConversion"/>
  <pageMargins left="0.39370078740157483" right="0.39370078740157483" top="0.74803149606299213" bottom="0.39370078740157483" header="0.51181102362204722" footer="0.19685039370078741"/>
  <pageSetup paperSize="9" orientation="portrait" r:id="rId1"/>
  <headerFooter alignWithMargins="0">
    <oddHeader xml:space="preserve">&amp;R&amp;"Angsana New,ตัวหนา"&amp;16 </oddHeader>
    <oddFooter>&amp;Lคำชี้แจง&amp;Rหน้า &amp;P/&amp;N</oddFooter>
  </headerFooter>
  <rowBreaks count="2" manualBreakCount="2">
    <brk id="135" max="16383" man="1"/>
    <brk id="1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8</vt:i4>
      </vt:variant>
    </vt:vector>
  </HeadingPairs>
  <TitlesOfParts>
    <vt:vector size="22" baseType="lpstr">
      <vt:lpstr>แบบประเมิน</vt:lpstr>
      <vt:lpstr>การคำนวณ</vt:lpstr>
      <vt:lpstr>1 ภาระงานสอน</vt:lpstr>
      <vt:lpstr>2 ภาระงานวิจัยและผลงานวิชาการ</vt:lpstr>
      <vt:lpstr>3 บริการวิชาการฯ</vt:lpstr>
      <vt:lpstr>4 ทำนุบำรุงศิลปะ</vt:lpstr>
      <vt:lpstr>ภาระงานบริหาร</vt:lpstr>
      <vt:lpstr>ภาระงานอื่น</vt:lpstr>
      <vt:lpstr>คำชี้แจง</vt:lpstr>
      <vt:lpstr>เกณฑ์สอน</vt:lpstr>
      <vt:lpstr>เกณฑ์วิจัย</vt:lpstr>
      <vt:lpstr>เกณฑ์บริการ</vt:lpstr>
      <vt:lpstr>เกณฑ์บริหาร</vt:lpstr>
      <vt:lpstr>Sheet1</vt:lpstr>
      <vt:lpstr>'1 ภาระงานสอน'!Print_Area</vt:lpstr>
      <vt:lpstr>เกณฑ์บริการ!Print_Area</vt:lpstr>
      <vt:lpstr>เกณฑ์วิจัย!Print_Area</vt:lpstr>
      <vt:lpstr>แบบประเมิน!Print_Area</vt:lpstr>
      <vt:lpstr>เกณฑ์บริการ!Print_Titles</vt:lpstr>
      <vt:lpstr>เกณฑ์บริหาร!Print_Titles</vt:lpstr>
      <vt:lpstr>เกณฑ์วิจัย!Print_Titles</vt:lpstr>
      <vt:lpstr>เกณฑ์สอน!Print_Titles</vt:lpstr>
    </vt:vector>
  </TitlesOfParts>
  <Company>iLLUSiON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user</cp:lastModifiedBy>
  <cp:lastPrinted>2013-04-03T17:58:55Z</cp:lastPrinted>
  <dcterms:created xsi:type="dcterms:W3CDTF">2010-05-31T09:17:26Z</dcterms:created>
  <dcterms:modified xsi:type="dcterms:W3CDTF">2013-04-04T02:57:31Z</dcterms:modified>
</cp:coreProperties>
</file>