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"/>
    </mc:Choice>
  </mc:AlternateContent>
  <bookViews>
    <workbookView xWindow="0" yWindow="0" windowWidth="19200" windowHeight="11355" tabRatio="738" firstSheet="1" activeTab="2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TypeTable!$I$2:$I$17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สอน'!$B$2:$K$420</definedName>
    <definedName name="_xlnm.Print_Area" localSheetId="5">'2. วิจัยและงานวิชาการอื่น'!$B$2:$R$267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(ป.วช.-01)'!$A$1:$Q$143</definedName>
    <definedName name="_xlnm.Print_Area" localSheetId="2">'แบบประเมิน(ป.วช-02)'!$A$1:$L$174</definedName>
    <definedName name="_xlnm.Print_Area" localSheetId="3">สรุปภาระงาน!$B$1:$M$143</definedName>
    <definedName name="_xlnm.Print_Titles" localSheetId="0">คำชี้แจง!$18:$20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52511"/>
</workbook>
</file>

<file path=xl/calcChain.xml><?xml version="1.0" encoding="utf-8"?>
<calcChain xmlns="http://schemas.openxmlformats.org/spreadsheetml/2006/main">
  <c r="D14" i="6" l="1"/>
  <c r="A99" i="2" l="1"/>
  <c r="AC30" i="2" l="1"/>
  <c r="AC29" i="2"/>
  <c r="AC28" i="2"/>
  <c r="J196" i="7" l="1"/>
  <c r="J197" i="7"/>
  <c r="J198" i="7"/>
  <c r="J199" i="7"/>
  <c r="J200" i="7"/>
  <c r="J201" i="7"/>
  <c r="J202" i="7"/>
  <c r="J203" i="7"/>
  <c r="K124" i="6" l="1"/>
  <c r="K123" i="6"/>
  <c r="I50" i="8" l="1"/>
  <c r="H50" i="8" s="1"/>
  <c r="G50" i="8" s="1"/>
  <c r="G129" i="8" l="1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P392" i="9" l="1"/>
  <c r="Q392" i="9" s="1"/>
  <c r="J392" i="9" s="1"/>
  <c r="I392" i="9" s="1"/>
  <c r="H392" i="9" s="1"/>
  <c r="P393" i="9"/>
  <c r="Q393" i="9" s="1"/>
  <c r="J393" i="9" s="1"/>
  <c r="I393" i="9" s="1"/>
  <c r="H393" i="9" s="1"/>
  <c r="P394" i="9"/>
  <c r="Q394" i="9" s="1"/>
  <c r="J394" i="9" s="1"/>
  <c r="I394" i="9" s="1"/>
  <c r="H394" i="9" s="1"/>
  <c r="P395" i="9"/>
  <c r="Q395" i="9" s="1"/>
  <c r="J395" i="9" s="1"/>
  <c r="I395" i="9" s="1"/>
  <c r="H395" i="9" s="1"/>
  <c r="P391" i="9"/>
  <c r="Q391" i="9" s="1"/>
  <c r="P384" i="9"/>
  <c r="Q384" i="9" s="1"/>
  <c r="J391" i="9" l="1"/>
  <c r="I391" i="9" s="1"/>
  <c r="H391" i="9" s="1"/>
  <c r="P385" i="9" l="1"/>
  <c r="Q385" i="9" s="1"/>
  <c r="J385" i="9" s="1"/>
  <c r="I385" i="9" s="1"/>
  <c r="H385" i="9" s="1"/>
  <c r="P386" i="9"/>
  <c r="Q386" i="9" s="1"/>
  <c r="J386" i="9" s="1"/>
  <c r="I386" i="9" s="1"/>
  <c r="H386" i="9" s="1"/>
  <c r="P387" i="9"/>
  <c r="Q387" i="9" s="1"/>
  <c r="J387" i="9" s="1"/>
  <c r="I387" i="9" s="1"/>
  <c r="H387" i="9" s="1"/>
  <c r="P388" i="9"/>
  <c r="Q388" i="9" s="1"/>
  <c r="J388" i="9" s="1"/>
  <c r="I388" i="9" s="1"/>
  <c r="H388" i="9" s="1"/>
  <c r="J384" i="9"/>
  <c r="I384" i="9" s="1"/>
  <c r="H384" i="9" s="1"/>
  <c r="M384" i="9"/>
  <c r="V79" i="8" l="1"/>
  <c r="W79" i="8" s="1"/>
  <c r="I79" i="8" s="1"/>
  <c r="H79" i="8" s="1"/>
  <c r="G79" i="8" s="1"/>
  <c r="V78" i="8"/>
  <c r="W78" i="8" s="1"/>
  <c r="I78" i="8" s="1"/>
  <c r="H78" i="8" s="1"/>
  <c r="G78" i="8" s="1"/>
  <c r="V77" i="8"/>
  <c r="W77" i="8" s="1"/>
  <c r="I77" i="8" s="1"/>
  <c r="H77" i="8" s="1"/>
  <c r="G77" i="8" s="1"/>
  <c r="V76" i="8"/>
  <c r="W76" i="8" s="1"/>
  <c r="I76" i="8" s="1"/>
  <c r="H76" i="8" s="1"/>
  <c r="G76" i="8" s="1"/>
  <c r="V75" i="8"/>
  <c r="W75" i="8" s="1"/>
  <c r="I75" i="8" s="1"/>
  <c r="H75" i="8" s="1"/>
  <c r="G75" i="8" s="1"/>
  <c r="V70" i="8"/>
  <c r="W70" i="8" s="1"/>
  <c r="I70" i="8" s="1"/>
  <c r="H70" i="8" s="1"/>
  <c r="G70" i="8" s="1"/>
  <c r="V69" i="8"/>
  <c r="W69" i="8" s="1"/>
  <c r="I69" i="8" s="1"/>
  <c r="H69" i="8" s="1"/>
  <c r="G69" i="8" s="1"/>
  <c r="V68" i="8"/>
  <c r="W68" i="8" s="1"/>
  <c r="I68" i="8" s="1"/>
  <c r="H68" i="8" s="1"/>
  <c r="G68" i="8" s="1"/>
  <c r="V67" i="8"/>
  <c r="W67" i="8" s="1"/>
  <c r="I67" i="8" s="1"/>
  <c r="H67" i="8" s="1"/>
  <c r="G67" i="8" s="1"/>
  <c r="V66" i="8"/>
  <c r="W66" i="8" s="1"/>
  <c r="I66" i="8" s="1"/>
  <c r="H66" i="8" s="1"/>
  <c r="G66" i="8" s="1"/>
  <c r="V41" i="8" l="1"/>
  <c r="W41" i="8" s="1"/>
  <c r="I41" i="8" s="1"/>
  <c r="H41" i="8" s="1"/>
  <c r="G41" i="8" s="1"/>
  <c r="V49" i="8"/>
  <c r="W49" i="8" s="1"/>
  <c r="I49" i="8" s="1"/>
  <c r="H49" i="8" s="1"/>
  <c r="G49" i="8" s="1"/>
  <c r="V48" i="8"/>
  <c r="W48" i="8" s="1"/>
  <c r="I48" i="8" s="1"/>
  <c r="H48" i="8" s="1"/>
  <c r="G48" i="8" s="1"/>
  <c r="V47" i="8"/>
  <c r="W47" i="8" s="1"/>
  <c r="I47" i="8" s="1"/>
  <c r="H47" i="8" s="1"/>
  <c r="G47" i="8" s="1"/>
  <c r="V46" i="8"/>
  <c r="W46" i="8" s="1"/>
  <c r="I46" i="8" s="1"/>
  <c r="H46" i="8" s="1"/>
  <c r="G46" i="8" s="1"/>
  <c r="V45" i="8"/>
  <c r="W45" i="8" s="1"/>
  <c r="I45" i="8" s="1"/>
  <c r="H45" i="8" s="1"/>
  <c r="G45" i="8" s="1"/>
  <c r="V44" i="8"/>
  <c r="W44" i="8" s="1"/>
  <c r="I44" i="8" s="1"/>
  <c r="H44" i="8" s="1"/>
  <c r="G44" i="8" s="1"/>
  <c r="V43" i="8"/>
  <c r="W43" i="8" s="1"/>
  <c r="I43" i="8" s="1"/>
  <c r="H43" i="8" s="1"/>
  <c r="G43" i="8" s="1"/>
  <c r="V42" i="8"/>
  <c r="W42" i="8" s="1"/>
  <c r="I42" i="8" s="1"/>
  <c r="H42" i="8" s="1"/>
  <c r="G42" i="8" s="1"/>
  <c r="V23" i="8"/>
  <c r="W23" i="8" s="1"/>
  <c r="I23" i="8" s="1"/>
  <c r="H23" i="8" s="1"/>
  <c r="G23" i="8" s="1"/>
  <c r="V24" i="8"/>
  <c r="W24" i="8" s="1"/>
  <c r="I24" i="8" s="1"/>
  <c r="H24" i="8" s="1"/>
  <c r="G24" i="8" s="1"/>
  <c r="V25" i="8"/>
  <c r="W25" i="8" s="1"/>
  <c r="I25" i="8" s="1"/>
  <c r="H25" i="8" s="1"/>
  <c r="G25" i="8" s="1"/>
  <c r="V26" i="8"/>
  <c r="W26" i="8" s="1"/>
  <c r="I26" i="8" s="1"/>
  <c r="H26" i="8" s="1"/>
  <c r="G26" i="8" s="1"/>
  <c r="V27" i="8"/>
  <c r="W27" i="8" s="1"/>
  <c r="I27" i="8" s="1"/>
  <c r="H27" i="8" s="1"/>
  <c r="G27" i="8" s="1"/>
  <c r="V28" i="8"/>
  <c r="W28" i="8" s="1"/>
  <c r="I28" i="8" s="1"/>
  <c r="H28" i="8" s="1"/>
  <c r="G28" i="8" s="1"/>
  <c r="V29" i="8"/>
  <c r="W29" i="8" s="1"/>
  <c r="I29" i="8" s="1"/>
  <c r="H29" i="8" s="1"/>
  <c r="G29" i="8" s="1"/>
  <c r="V30" i="8"/>
  <c r="W30" i="8" s="1"/>
  <c r="I30" i="8" s="1"/>
  <c r="H30" i="8" s="1"/>
  <c r="G30" i="8" s="1"/>
  <c r="V31" i="8"/>
  <c r="W31" i="8" s="1"/>
  <c r="I31" i="8" s="1"/>
  <c r="H31" i="8" s="1"/>
  <c r="G31" i="8" s="1"/>
  <c r="V32" i="8"/>
  <c r="W32" i="8" s="1"/>
  <c r="I32" i="8" s="1"/>
  <c r="H32" i="8" s="1"/>
  <c r="G32" i="8" s="1"/>
  <c r="V33" i="8"/>
  <c r="W33" i="8" s="1"/>
  <c r="I33" i="8" s="1"/>
  <c r="H33" i="8" s="1"/>
  <c r="G33" i="8" s="1"/>
  <c r="V34" i="8"/>
  <c r="W34" i="8" s="1"/>
  <c r="I34" i="8" s="1"/>
  <c r="H34" i="8" s="1"/>
  <c r="G34" i="8" s="1"/>
  <c r="V35" i="8"/>
  <c r="W35" i="8" s="1"/>
  <c r="I35" i="8" s="1"/>
  <c r="H35" i="8" s="1"/>
  <c r="G35" i="8" s="1"/>
  <c r="V36" i="8"/>
  <c r="W36" i="8" s="1"/>
  <c r="I36" i="8" s="1"/>
  <c r="H36" i="8" s="1"/>
  <c r="G36" i="8" s="1"/>
  <c r="V22" i="8"/>
  <c r="W22" i="8" s="1"/>
  <c r="I22" i="8" s="1"/>
  <c r="H22" i="8" s="1"/>
  <c r="G22" i="8" s="1"/>
  <c r="G255" i="8" l="1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H222" i="8"/>
  <c r="I222" i="8" s="1"/>
  <c r="G222" i="8"/>
  <c r="H221" i="8"/>
  <c r="I221" i="8" s="1"/>
  <c r="G221" i="8"/>
  <c r="H220" i="8"/>
  <c r="G220" i="8"/>
  <c r="T22" i="8"/>
  <c r="S22" i="8"/>
  <c r="I220" i="8" l="1"/>
  <c r="U22" i="8"/>
  <c r="H326" i="9"/>
  <c r="H327" i="9"/>
  <c r="H328" i="9"/>
  <c r="H329" i="9"/>
  <c r="H330" i="9"/>
  <c r="H331" i="9"/>
  <c r="H332" i="9"/>
  <c r="H333" i="9"/>
  <c r="H334" i="9"/>
  <c r="H325" i="9"/>
  <c r="H311" i="9"/>
  <c r="H312" i="9"/>
  <c r="H313" i="9"/>
  <c r="H314" i="9"/>
  <c r="H315" i="9"/>
  <c r="H316" i="9"/>
  <c r="H317" i="9"/>
  <c r="H318" i="9"/>
  <c r="H319" i="9"/>
  <c r="H310" i="9"/>
  <c r="H292" i="9"/>
  <c r="H293" i="9"/>
  <c r="H294" i="9"/>
  <c r="H295" i="9"/>
  <c r="H296" i="9"/>
  <c r="H297" i="9"/>
  <c r="H298" i="9"/>
  <c r="H299" i="9"/>
  <c r="H300" i="9"/>
  <c r="H291" i="9"/>
  <c r="H277" i="9"/>
  <c r="H278" i="9"/>
  <c r="H279" i="9"/>
  <c r="H280" i="9"/>
  <c r="H281" i="9"/>
  <c r="H282" i="9"/>
  <c r="H283" i="9"/>
  <c r="H284" i="9"/>
  <c r="H285" i="9"/>
  <c r="I285" i="9" s="1"/>
  <c r="H276" i="9"/>
  <c r="I87" i="9"/>
  <c r="I88" i="9"/>
  <c r="I89" i="9"/>
  <c r="I90" i="9"/>
  <c r="I86" i="9"/>
  <c r="K72" i="6" l="1"/>
  <c r="K69" i="6"/>
  <c r="K68" i="6"/>
  <c r="K13" i="7"/>
  <c r="L68" i="6" s="1"/>
  <c r="K11" i="7"/>
  <c r="J253" i="7"/>
  <c r="S66" i="8"/>
  <c r="I456" i="9"/>
  <c r="I446" i="9"/>
  <c r="I445" i="9"/>
  <c r="I434" i="9"/>
  <c r="I423" i="9"/>
  <c r="I412" i="9"/>
  <c r="I401" i="9"/>
  <c r="I360" i="9" l="1"/>
  <c r="I349" i="9"/>
  <c r="I341" i="9"/>
  <c r="I311" i="9"/>
  <c r="I312" i="9"/>
  <c r="I313" i="9"/>
  <c r="I314" i="9"/>
  <c r="I315" i="9"/>
  <c r="I316" i="9"/>
  <c r="I317" i="9"/>
  <c r="I318" i="9"/>
  <c r="I319" i="9"/>
  <c r="I310" i="9"/>
  <c r="I276" i="9"/>
  <c r="I277" i="9"/>
  <c r="I278" i="9"/>
  <c r="I279" i="9"/>
  <c r="I280" i="9"/>
  <c r="I281" i="9"/>
  <c r="I282" i="9"/>
  <c r="I283" i="9"/>
  <c r="I284" i="9"/>
  <c r="I264" i="9"/>
  <c r="I247" i="9"/>
  <c r="I235" i="9"/>
  <c r="I224" i="9"/>
  <c r="I213" i="9"/>
  <c r="I202" i="9"/>
  <c r="I174" i="9"/>
  <c r="I163" i="9"/>
  <c r="I98" i="9"/>
  <c r="I99" i="9"/>
  <c r="I100" i="9"/>
  <c r="I101" i="9"/>
  <c r="I97" i="9"/>
  <c r="I76" i="9"/>
  <c r="I77" i="9"/>
  <c r="I78" i="9"/>
  <c r="I79" i="9"/>
  <c r="I75" i="9"/>
  <c r="I60" i="9"/>
  <c r="I61" i="9"/>
  <c r="I62" i="9"/>
  <c r="I63" i="9"/>
  <c r="I64" i="9"/>
  <c r="I65" i="9"/>
  <c r="I66" i="9"/>
  <c r="I67" i="9"/>
  <c r="I68" i="9"/>
  <c r="I59" i="9"/>
  <c r="I49" i="9"/>
  <c r="I50" i="9"/>
  <c r="I51" i="9"/>
  <c r="I52" i="9"/>
  <c r="I48" i="9"/>
  <c r="I28" i="9"/>
  <c r="I29" i="9"/>
  <c r="I30" i="9"/>
  <c r="I31" i="9"/>
  <c r="I32" i="9"/>
  <c r="J32" i="9" s="1"/>
  <c r="I33" i="9"/>
  <c r="J33" i="9" s="1"/>
  <c r="I34" i="9"/>
  <c r="J34" i="9" s="1"/>
  <c r="I35" i="9"/>
  <c r="J35" i="9" s="1"/>
  <c r="I36" i="9"/>
  <c r="I37" i="9"/>
  <c r="I38" i="9"/>
  <c r="J38" i="9" s="1"/>
  <c r="I39" i="9"/>
  <c r="J39" i="9" s="1"/>
  <c r="I40" i="9"/>
  <c r="J40" i="9" s="1"/>
  <c r="I41" i="9"/>
  <c r="J41" i="9" s="1"/>
  <c r="I27" i="9"/>
  <c r="I17" i="9"/>
  <c r="I18" i="9"/>
  <c r="I19" i="9"/>
  <c r="I20" i="9"/>
  <c r="I16" i="9"/>
  <c r="N449" i="9"/>
  <c r="M449" i="9"/>
  <c r="I449" i="9"/>
  <c r="J449" i="9" s="1"/>
  <c r="N448" i="9"/>
  <c r="M448" i="9"/>
  <c r="I448" i="9"/>
  <c r="J448" i="9" s="1"/>
  <c r="N447" i="9"/>
  <c r="M447" i="9"/>
  <c r="I447" i="9"/>
  <c r="J447" i="9" s="1"/>
  <c r="N446" i="9"/>
  <c r="M446" i="9"/>
  <c r="J446" i="9"/>
  <c r="N445" i="9"/>
  <c r="M445" i="9"/>
  <c r="N41" i="9"/>
  <c r="M41" i="9"/>
  <c r="N40" i="9"/>
  <c r="M40" i="9"/>
  <c r="N39" i="9"/>
  <c r="M39" i="9"/>
  <c r="N38" i="9"/>
  <c r="M38" i="9"/>
  <c r="N37" i="9"/>
  <c r="M37" i="9"/>
  <c r="J37" i="9"/>
  <c r="N36" i="9"/>
  <c r="M36" i="9"/>
  <c r="O36" i="9" s="1"/>
  <c r="J36" i="9"/>
  <c r="N35" i="9"/>
  <c r="M35" i="9"/>
  <c r="N34" i="9"/>
  <c r="M34" i="9"/>
  <c r="N33" i="9"/>
  <c r="M33" i="9"/>
  <c r="N32" i="9"/>
  <c r="M32" i="9"/>
  <c r="T79" i="8"/>
  <c r="S79" i="8"/>
  <c r="T78" i="8"/>
  <c r="S78" i="8"/>
  <c r="T77" i="8"/>
  <c r="S77" i="8"/>
  <c r="T76" i="8"/>
  <c r="S76" i="8"/>
  <c r="T75" i="8"/>
  <c r="S75" i="8"/>
  <c r="T70" i="8"/>
  <c r="S70" i="8"/>
  <c r="U70" i="8" s="1"/>
  <c r="T69" i="8"/>
  <c r="S69" i="8"/>
  <c r="T68" i="8"/>
  <c r="S68" i="8"/>
  <c r="T67" i="8"/>
  <c r="S67" i="8"/>
  <c r="T66" i="8"/>
  <c r="I80" i="8" l="1"/>
  <c r="H80" i="8"/>
  <c r="U75" i="8"/>
  <c r="O34" i="9"/>
  <c r="O40" i="9"/>
  <c r="O449" i="9"/>
  <c r="O32" i="9"/>
  <c r="O448" i="9"/>
  <c r="I450" i="9"/>
  <c r="K118" i="6" s="1"/>
  <c r="O37" i="9"/>
  <c r="O445" i="9"/>
  <c r="O33" i="9"/>
  <c r="O35" i="9"/>
  <c r="O38" i="9"/>
  <c r="O39" i="9"/>
  <c r="O41" i="9"/>
  <c r="J445" i="9"/>
  <c r="J450" i="9" s="1"/>
  <c r="L118" i="6" s="1"/>
  <c r="O446" i="9"/>
  <c r="O447" i="9"/>
  <c r="U76" i="8"/>
  <c r="U77" i="8"/>
  <c r="U79" i="8"/>
  <c r="U66" i="8"/>
  <c r="U67" i="8"/>
  <c r="U68" i="8"/>
  <c r="U69" i="8"/>
  <c r="U78" i="8"/>
  <c r="H71" i="8"/>
  <c r="I71" i="8"/>
  <c r="J149" i="7"/>
  <c r="K149" i="7" s="1"/>
  <c r="I149" i="7"/>
  <c r="H149" i="7"/>
  <c r="J148" i="7"/>
  <c r="K148" i="7" s="1"/>
  <c r="I148" i="7"/>
  <c r="H148" i="7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67" i="7"/>
  <c r="K67" i="7" s="1"/>
  <c r="I67" i="7"/>
  <c r="H67" i="7"/>
  <c r="J66" i="7"/>
  <c r="K66" i="7" s="1"/>
  <c r="I66" i="7"/>
  <c r="H66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K17" i="7"/>
  <c r="L72" i="6" s="1"/>
  <c r="K16" i="7"/>
  <c r="M71" i="8" l="1"/>
  <c r="M80" i="8"/>
  <c r="G450" i="9"/>
  <c r="I42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3" i="7" l="1"/>
  <c r="J193" i="7" s="1"/>
  <c r="I195" i="7" l="1"/>
  <c r="I196" i="7"/>
  <c r="I197" i="7"/>
  <c r="I198" i="7"/>
  <c r="I199" i="7"/>
  <c r="I200" i="7"/>
  <c r="I201" i="7"/>
  <c r="I202" i="7"/>
  <c r="I203" i="7"/>
  <c r="I194" i="7"/>
  <c r="E57" i="5" l="1"/>
  <c r="E56" i="5"/>
  <c r="K71" i="6"/>
  <c r="E43" i="5" s="1"/>
  <c r="K67" i="6"/>
  <c r="E41" i="5" s="1"/>
  <c r="K66" i="6"/>
  <c r="E40" i="5" s="1"/>
  <c r="K65" i="6"/>
  <c r="E39" i="5" s="1"/>
  <c r="K64" i="6"/>
  <c r="E38" i="5" s="1"/>
  <c r="K63" i="6"/>
  <c r="E37" i="5" s="1"/>
  <c r="K62" i="6"/>
  <c r="E36" i="5" s="1"/>
  <c r="D13" i="6"/>
  <c r="D12" i="6"/>
  <c r="AC9" i="2"/>
  <c r="G112" i="11"/>
  <c r="G111" i="11"/>
  <c r="G110" i="11"/>
  <c r="G109" i="11"/>
  <c r="G108" i="11"/>
  <c r="G107" i="11"/>
  <c r="G106" i="11"/>
  <c r="H99" i="11"/>
  <c r="G99" i="11"/>
  <c r="G98" i="11"/>
  <c r="H98" i="11" s="1"/>
  <c r="G97" i="11"/>
  <c r="H97" i="11" s="1"/>
  <c r="G96" i="11"/>
  <c r="H96" i="11" s="1"/>
  <c r="G95" i="11"/>
  <c r="H95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G54" i="11"/>
  <c r="H54" i="11" s="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39" i="6" s="1"/>
  <c r="K139" i="6" s="1"/>
  <c r="G10" i="11"/>
  <c r="H10" i="11" s="1"/>
  <c r="G9" i="11"/>
  <c r="H9" i="11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M391" i="9"/>
  <c r="N385" i="9"/>
  <c r="N386" i="9"/>
  <c r="N387" i="9"/>
  <c r="N388" i="9"/>
  <c r="N391" i="9"/>
  <c r="N392" i="9"/>
  <c r="N393" i="9"/>
  <c r="N394" i="9"/>
  <c r="N395" i="9"/>
  <c r="N384" i="9"/>
  <c r="O384" i="9" s="1"/>
  <c r="N325" i="9"/>
  <c r="M385" i="9"/>
  <c r="M386" i="9"/>
  <c r="M387" i="9"/>
  <c r="M388" i="9"/>
  <c r="M392" i="9"/>
  <c r="M393" i="9"/>
  <c r="M394" i="9"/>
  <c r="M395" i="9"/>
  <c r="M325" i="9"/>
  <c r="N310" i="9"/>
  <c r="N311" i="9"/>
  <c r="N312" i="9"/>
  <c r="N313" i="9"/>
  <c r="N314" i="9"/>
  <c r="N315" i="9"/>
  <c r="N316" i="9"/>
  <c r="N317" i="9"/>
  <c r="N318" i="9"/>
  <c r="N319" i="9"/>
  <c r="N326" i="9"/>
  <c r="N327" i="9"/>
  <c r="N328" i="9"/>
  <c r="N329" i="9"/>
  <c r="N330" i="9"/>
  <c r="N331" i="9"/>
  <c r="N332" i="9"/>
  <c r="N333" i="9"/>
  <c r="N334" i="9"/>
  <c r="M310" i="9"/>
  <c r="M311" i="9"/>
  <c r="M312" i="9"/>
  <c r="M313" i="9"/>
  <c r="M314" i="9"/>
  <c r="M315" i="9"/>
  <c r="M316" i="9"/>
  <c r="M317" i="9"/>
  <c r="M318" i="9"/>
  <c r="M319" i="9"/>
  <c r="M326" i="9"/>
  <c r="M327" i="9"/>
  <c r="M328" i="9"/>
  <c r="M329" i="9"/>
  <c r="M330" i="9"/>
  <c r="M331" i="9"/>
  <c r="M332" i="9"/>
  <c r="M333" i="9"/>
  <c r="M334" i="9"/>
  <c r="N291" i="9"/>
  <c r="N292" i="9"/>
  <c r="N293" i="9"/>
  <c r="N294" i="9"/>
  <c r="N295" i="9"/>
  <c r="N296" i="9"/>
  <c r="N297" i="9"/>
  <c r="N298" i="9"/>
  <c r="N299" i="9"/>
  <c r="N300" i="9"/>
  <c r="M291" i="9"/>
  <c r="M292" i="9"/>
  <c r="M293" i="9"/>
  <c r="M294" i="9"/>
  <c r="M295" i="9"/>
  <c r="M296" i="9"/>
  <c r="M297" i="9"/>
  <c r="M298" i="9"/>
  <c r="M299" i="9"/>
  <c r="M300" i="9"/>
  <c r="N277" i="9"/>
  <c r="N278" i="9"/>
  <c r="N279" i="9"/>
  <c r="N280" i="9"/>
  <c r="N281" i="9"/>
  <c r="N282" i="9"/>
  <c r="N283" i="9"/>
  <c r="N284" i="9"/>
  <c r="N285" i="9"/>
  <c r="N276" i="9"/>
  <c r="N86" i="9"/>
  <c r="M277" i="9"/>
  <c r="M278" i="9"/>
  <c r="M279" i="9"/>
  <c r="M280" i="9"/>
  <c r="M281" i="9"/>
  <c r="M282" i="9"/>
  <c r="M283" i="9"/>
  <c r="M284" i="9"/>
  <c r="M285" i="9"/>
  <c r="M276" i="9"/>
  <c r="M86" i="9"/>
  <c r="N87" i="9"/>
  <c r="N88" i="9"/>
  <c r="N89" i="9"/>
  <c r="N90" i="9"/>
  <c r="N48" i="9"/>
  <c r="M87" i="9"/>
  <c r="M88" i="9"/>
  <c r="M89" i="9"/>
  <c r="M90" i="9"/>
  <c r="M48" i="9"/>
  <c r="N49" i="9"/>
  <c r="N50" i="9"/>
  <c r="N51" i="9"/>
  <c r="N52" i="9"/>
  <c r="N27" i="9"/>
  <c r="M49" i="9"/>
  <c r="M50" i="9"/>
  <c r="M51" i="9"/>
  <c r="M52" i="9"/>
  <c r="M27" i="9"/>
  <c r="N28" i="9"/>
  <c r="N29" i="9"/>
  <c r="N30" i="9"/>
  <c r="N31" i="9"/>
  <c r="N16" i="9"/>
  <c r="M28" i="9"/>
  <c r="M29" i="9"/>
  <c r="M30" i="9"/>
  <c r="M31" i="9"/>
  <c r="M16" i="9"/>
  <c r="N17" i="9"/>
  <c r="N18" i="9"/>
  <c r="N19" i="9"/>
  <c r="N20" i="9"/>
  <c r="M17" i="9"/>
  <c r="O17" i="9" s="1"/>
  <c r="M18" i="9"/>
  <c r="O18" i="9" s="1"/>
  <c r="M19" i="9"/>
  <c r="O19" i="9" s="1"/>
  <c r="M20" i="9"/>
  <c r="O276" i="9" l="1"/>
  <c r="O282" i="9"/>
  <c r="O278" i="9"/>
  <c r="O331" i="9"/>
  <c r="O327" i="9"/>
  <c r="O317" i="9"/>
  <c r="O313" i="9"/>
  <c r="O385" i="9"/>
  <c r="O395" i="9"/>
  <c r="O31" i="9"/>
  <c r="O50" i="9"/>
  <c r="O90" i="9"/>
  <c r="O20" i="9"/>
  <c r="O299" i="9"/>
  <c r="O295" i="9"/>
  <c r="O291" i="9"/>
  <c r="H44" i="11"/>
  <c r="H56" i="11"/>
  <c r="H76" i="11"/>
  <c r="H88" i="11"/>
  <c r="H100" i="11"/>
  <c r="L142" i="6" s="1"/>
  <c r="E69" i="5" s="1"/>
  <c r="O284" i="9"/>
  <c r="O280" i="9"/>
  <c r="O333" i="9"/>
  <c r="O329" i="9"/>
  <c r="O319" i="9"/>
  <c r="O315" i="9"/>
  <c r="O311" i="9"/>
  <c r="O387" i="9"/>
  <c r="O298" i="9"/>
  <c r="O294" i="9"/>
  <c r="O332" i="9"/>
  <c r="O328" i="9"/>
  <c r="O318" i="9"/>
  <c r="O314" i="9"/>
  <c r="O310" i="9"/>
  <c r="O325" i="9"/>
  <c r="O393" i="9"/>
  <c r="O386" i="9"/>
  <c r="H32" i="10"/>
  <c r="L131" i="6" s="1"/>
  <c r="H58" i="10"/>
  <c r="L133" i="6" s="1"/>
  <c r="G113" i="11"/>
  <c r="O29" i="9"/>
  <c r="O52" i="9"/>
  <c r="O88" i="9"/>
  <c r="O392" i="9"/>
  <c r="O391" i="9"/>
  <c r="G44" i="11"/>
  <c r="G56" i="11"/>
  <c r="G76" i="11"/>
  <c r="G88" i="11"/>
  <c r="G100" i="11"/>
  <c r="K142" i="6" s="1"/>
  <c r="O300" i="9"/>
  <c r="O16" i="9"/>
  <c r="O28" i="9"/>
  <c r="O51" i="9"/>
  <c r="O48" i="9"/>
  <c r="O87" i="9"/>
  <c r="O285" i="9"/>
  <c r="O281" i="9"/>
  <c r="O277" i="9"/>
  <c r="O296" i="9"/>
  <c r="O292" i="9"/>
  <c r="O334" i="9"/>
  <c r="O330" i="9"/>
  <c r="O326" i="9"/>
  <c r="O316" i="9"/>
  <c r="O312" i="9"/>
  <c r="O388" i="9"/>
  <c r="O297" i="9"/>
  <c r="O293" i="9"/>
  <c r="O30" i="9"/>
  <c r="O27" i="9"/>
  <c r="O49" i="9"/>
  <c r="O89" i="9"/>
  <c r="O86" i="9"/>
  <c r="O283" i="9"/>
  <c r="O279" i="9"/>
  <c r="O394" i="9"/>
  <c r="H11" i="11"/>
  <c r="L138" i="6" s="1"/>
  <c r="G11" i="11"/>
  <c r="K138" i="6" s="1"/>
  <c r="H20" i="10"/>
  <c r="L130" i="6" s="1"/>
  <c r="H46" i="10"/>
  <c r="L132" i="6" s="1"/>
  <c r="G32" i="10"/>
  <c r="K131" i="6" s="1"/>
  <c r="G20" i="10"/>
  <c r="K130" i="6" s="1"/>
  <c r="G46" i="10"/>
  <c r="K132" i="6" s="1"/>
  <c r="G58" i="10"/>
  <c r="K133" i="6" s="1"/>
  <c r="G42" i="9" l="1"/>
  <c r="G53" i="9"/>
  <c r="M21" i="9"/>
  <c r="L134" i="6"/>
  <c r="K134" i="6"/>
  <c r="H89" i="11"/>
  <c r="L141" i="6" s="1"/>
  <c r="E68" i="5" s="1"/>
  <c r="G57" i="11"/>
  <c r="K140" i="6" s="1"/>
  <c r="H57" i="11"/>
  <c r="L140" i="6" s="1"/>
  <c r="G389" i="9"/>
  <c r="G396" i="9"/>
  <c r="G320" i="9"/>
  <c r="G335" i="9"/>
  <c r="G286" i="9"/>
  <c r="G89" i="11"/>
  <c r="K141" i="6" s="1"/>
  <c r="G91" i="9"/>
  <c r="G301" i="9"/>
  <c r="G21" i="9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M460" i="9"/>
  <c r="I460" i="9"/>
  <c r="J460" i="9" s="1"/>
  <c r="M459" i="9"/>
  <c r="I459" i="9"/>
  <c r="J459" i="9" s="1"/>
  <c r="M458" i="9"/>
  <c r="I458" i="9"/>
  <c r="J458" i="9" s="1"/>
  <c r="M457" i="9"/>
  <c r="I457" i="9"/>
  <c r="J457" i="9" s="1"/>
  <c r="M456" i="9"/>
  <c r="J456" i="9"/>
  <c r="M438" i="9"/>
  <c r="I438" i="9"/>
  <c r="J438" i="9" s="1"/>
  <c r="M437" i="9"/>
  <c r="I437" i="9"/>
  <c r="J437" i="9" s="1"/>
  <c r="M436" i="9"/>
  <c r="I436" i="9"/>
  <c r="J436" i="9" s="1"/>
  <c r="M435" i="9"/>
  <c r="I435" i="9"/>
  <c r="J435" i="9" s="1"/>
  <c r="M434" i="9"/>
  <c r="M427" i="9"/>
  <c r="I427" i="9"/>
  <c r="J427" i="9" s="1"/>
  <c r="M426" i="9"/>
  <c r="I426" i="9"/>
  <c r="J426" i="9" s="1"/>
  <c r="M425" i="9"/>
  <c r="I425" i="9"/>
  <c r="J425" i="9" s="1"/>
  <c r="M424" i="9"/>
  <c r="I424" i="9"/>
  <c r="J424" i="9" s="1"/>
  <c r="M423" i="9"/>
  <c r="J423" i="9"/>
  <c r="M416" i="9"/>
  <c r="I416" i="9"/>
  <c r="J416" i="9" s="1"/>
  <c r="M415" i="9"/>
  <c r="I415" i="9"/>
  <c r="J415" i="9" s="1"/>
  <c r="M414" i="9"/>
  <c r="I414" i="9"/>
  <c r="J414" i="9" s="1"/>
  <c r="M413" i="9"/>
  <c r="I413" i="9"/>
  <c r="J413" i="9" s="1"/>
  <c r="M412" i="9"/>
  <c r="J412" i="9"/>
  <c r="M405" i="9"/>
  <c r="I405" i="9"/>
  <c r="J405" i="9" s="1"/>
  <c r="M404" i="9"/>
  <c r="I404" i="9"/>
  <c r="J404" i="9" s="1"/>
  <c r="M403" i="9"/>
  <c r="I403" i="9"/>
  <c r="J403" i="9" s="1"/>
  <c r="M402" i="9"/>
  <c r="I402" i="9"/>
  <c r="J402" i="9" s="1"/>
  <c r="M401" i="9"/>
  <c r="J401" i="9"/>
  <c r="M375" i="9"/>
  <c r="I375" i="9"/>
  <c r="J375" i="9" s="1"/>
  <c r="M374" i="9"/>
  <c r="I374" i="9"/>
  <c r="J374" i="9" s="1"/>
  <c r="M373" i="9"/>
  <c r="I373" i="9"/>
  <c r="J373" i="9" s="1"/>
  <c r="M372" i="9"/>
  <c r="I372" i="9"/>
  <c r="J372" i="9" s="1"/>
  <c r="M371" i="9"/>
  <c r="I371" i="9"/>
  <c r="M364" i="9"/>
  <c r="I364" i="9"/>
  <c r="J364" i="9" s="1"/>
  <c r="M363" i="9"/>
  <c r="I363" i="9"/>
  <c r="J363" i="9" s="1"/>
  <c r="M362" i="9"/>
  <c r="I362" i="9"/>
  <c r="J362" i="9" s="1"/>
  <c r="M361" i="9"/>
  <c r="I361" i="9"/>
  <c r="J361" i="9" s="1"/>
  <c r="M360" i="9"/>
  <c r="M353" i="9"/>
  <c r="I353" i="9"/>
  <c r="J353" i="9" s="1"/>
  <c r="M352" i="9"/>
  <c r="I352" i="9"/>
  <c r="J352" i="9" s="1"/>
  <c r="M351" i="9"/>
  <c r="I351" i="9"/>
  <c r="J351" i="9" s="1"/>
  <c r="M350" i="9"/>
  <c r="I350" i="9"/>
  <c r="J350" i="9" s="1"/>
  <c r="M349" i="9"/>
  <c r="J349" i="9"/>
  <c r="M342" i="9"/>
  <c r="I342" i="9"/>
  <c r="J342" i="9" s="1"/>
  <c r="M341" i="9"/>
  <c r="J341" i="9"/>
  <c r="I325" i="9"/>
  <c r="J319" i="9"/>
  <c r="J318" i="9"/>
  <c r="J317" i="9"/>
  <c r="J316" i="9"/>
  <c r="J315" i="9"/>
  <c r="J314" i="9"/>
  <c r="J313" i="9"/>
  <c r="J312" i="9"/>
  <c r="J311" i="9"/>
  <c r="I291" i="9"/>
  <c r="J291" i="9" s="1"/>
  <c r="J285" i="9"/>
  <c r="J284" i="9"/>
  <c r="J283" i="9"/>
  <c r="J282" i="9"/>
  <c r="J281" i="9"/>
  <c r="J280" i="9"/>
  <c r="J279" i="9"/>
  <c r="J278" i="9"/>
  <c r="J277" i="9"/>
  <c r="M267" i="9"/>
  <c r="I267" i="9"/>
  <c r="J267" i="9" s="1"/>
  <c r="M266" i="9"/>
  <c r="I266" i="9"/>
  <c r="J266" i="9" s="1"/>
  <c r="M265" i="9"/>
  <c r="I265" i="9"/>
  <c r="J265" i="9" s="1"/>
  <c r="M264" i="9"/>
  <c r="J264" i="9"/>
  <c r="M263" i="9"/>
  <c r="I263" i="9"/>
  <c r="J263" i="9" s="1"/>
  <c r="M256" i="9"/>
  <c r="H256" i="9"/>
  <c r="I256" i="9" s="1"/>
  <c r="J256" i="9" s="1"/>
  <c r="M255" i="9"/>
  <c r="I255" i="9"/>
  <c r="J255" i="9" s="1"/>
  <c r="H255" i="9"/>
  <c r="M254" i="9"/>
  <c r="I254" i="9"/>
  <c r="J254" i="9" s="1"/>
  <c r="H254" i="9"/>
  <c r="M253" i="9"/>
  <c r="I253" i="9"/>
  <c r="J253" i="9" s="1"/>
  <c r="H253" i="9"/>
  <c r="M252" i="9"/>
  <c r="I252" i="9"/>
  <c r="J252" i="9" s="1"/>
  <c r="H252" i="9"/>
  <c r="M251" i="9"/>
  <c r="I251" i="9"/>
  <c r="J251" i="9" s="1"/>
  <c r="H251" i="9"/>
  <c r="M250" i="9"/>
  <c r="I250" i="9"/>
  <c r="J250" i="9" s="1"/>
  <c r="H250" i="9"/>
  <c r="M249" i="9"/>
  <c r="I249" i="9"/>
  <c r="J249" i="9" s="1"/>
  <c r="H249" i="9"/>
  <c r="M248" i="9"/>
  <c r="I248" i="9"/>
  <c r="J248" i="9" s="1"/>
  <c r="H248" i="9"/>
  <c r="M247" i="9"/>
  <c r="J247" i="9"/>
  <c r="H247" i="9"/>
  <c r="M239" i="9"/>
  <c r="I239" i="9"/>
  <c r="J239" i="9" s="1"/>
  <c r="M238" i="9"/>
  <c r="I238" i="9"/>
  <c r="J238" i="9" s="1"/>
  <c r="M237" i="9"/>
  <c r="I237" i="9"/>
  <c r="J237" i="9" s="1"/>
  <c r="M236" i="9"/>
  <c r="I236" i="9"/>
  <c r="J236" i="9" s="1"/>
  <c r="M235" i="9"/>
  <c r="M228" i="9"/>
  <c r="I228" i="9"/>
  <c r="J228" i="9" s="1"/>
  <c r="M227" i="9"/>
  <c r="I227" i="9"/>
  <c r="J227" i="9" s="1"/>
  <c r="M226" i="9"/>
  <c r="I226" i="9"/>
  <c r="J226" i="9" s="1"/>
  <c r="M225" i="9"/>
  <c r="I225" i="9"/>
  <c r="J225" i="9" s="1"/>
  <c r="M224" i="9"/>
  <c r="M217" i="9"/>
  <c r="I217" i="9"/>
  <c r="J217" i="9" s="1"/>
  <c r="M216" i="9"/>
  <c r="I216" i="9"/>
  <c r="J216" i="9" s="1"/>
  <c r="M215" i="9"/>
  <c r="I215" i="9"/>
  <c r="J215" i="9" s="1"/>
  <c r="M214" i="9"/>
  <c r="I214" i="9"/>
  <c r="J214" i="9" s="1"/>
  <c r="M213" i="9"/>
  <c r="M206" i="9"/>
  <c r="I206" i="9"/>
  <c r="J206" i="9" s="1"/>
  <c r="M205" i="9"/>
  <c r="I205" i="9"/>
  <c r="J205" i="9" s="1"/>
  <c r="M204" i="9"/>
  <c r="I204" i="9"/>
  <c r="J204" i="9" s="1"/>
  <c r="M203" i="9"/>
  <c r="I203" i="9"/>
  <c r="J203" i="9" s="1"/>
  <c r="M202" i="9"/>
  <c r="M195" i="9"/>
  <c r="H195" i="9"/>
  <c r="I195" i="9" s="1"/>
  <c r="J195" i="9" s="1"/>
  <c r="M194" i="9"/>
  <c r="H194" i="9"/>
  <c r="I194" i="9" s="1"/>
  <c r="J194" i="9" s="1"/>
  <c r="M193" i="9"/>
  <c r="H193" i="9"/>
  <c r="I193" i="9" s="1"/>
  <c r="J193" i="9" s="1"/>
  <c r="M192" i="9"/>
  <c r="H192" i="9"/>
  <c r="I192" i="9" s="1"/>
  <c r="J192" i="9" s="1"/>
  <c r="M191" i="9"/>
  <c r="H191" i="9"/>
  <c r="I191" i="9" s="1"/>
  <c r="J191" i="9" s="1"/>
  <c r="M190" i="9"/>
  <c r="H190" i="9"/>
  <c r="I190" i="9" s="1"/>
  <c r="J190" i="9" s="1"/>
  <c r="M189" i="9"/>
  <c r="H189" i="9"/>
  <c r="I189" i="9" s="1"/>
  <c r="J189" i="9" s="1"/>
  <c r="M188" i="9"/>
  <c r="H188" i="9"/>
  <c r="I188" i="9" s="1"/>
  <c r="J188" i="9" s="1"/>
  <c r="M187" i="9"/>
  <c r="H187" i="9"/>
  <c r="I187" i="9" s="1"/>
  <c r="J187" i="9" s="1"/>
  <c r="M186" i="9"/>
  <c r="H186" i="9"/>
  <c r="I186" i="9" s="1"/>
  <c r="M178" i="9"/>
  <c r="I178" i="9"/>
  <c r="J178" i="9" s="1"/>
  <c r="M177" i="9"/>
  <c r="I177" i="9"/>
  <c r="J177" i="9" s="1"/>
  <c r="M176" i="9"/>
  <c r="I176" i="9"/>
  <c r="J176" i="9" s="1"/>
  <c r="M175" i="9"/>
  <c r="I175" i="9"/>
  <c r="M174" i="9"/>
  <c r="M167" i="9"/>
  <c r="I167" i="9"/>
  <c r="J167" i="9" s="1"/>
  <c r="M166" i="9"/>
  <c r="I166" i="9"/>
  <c r="J166" i="9" s="1"/>
  <c r="M165" i="9"/>
  <c r="I165" i="9"/>
  <c r="J165" i="9" s="1"/>
  <c r="M164" i="9"/>
  <c r="I164" i="9"/>
  <c r="J164" i="9" s="1"/>
  <c r="M163" i="9"/>
  <c r="J163" i="9"/>
  <c r="M155" i="9"/>
  <c r="H155" i="9"/>
  <c r="I155" i="9" s="1"/>
  <c r="J155" i="9" s="1"/>
  <c r="M154" i="9"/>
  <c r="I154" i="9"/>
  <c r="J154" i="9" s="1"/>
  <c r="H154" i="9"/>
  <c r="M153" i="9"/>
  <c r="I153" i="9"/>
  <c r="J153" i="9" s="1"/>
  <c r="H153" i="9"/>
  <c r="M152" i="9"/>
  <c r="I152" i="9"/>
  <c r="J152" i="9" s="1"/>
  <c r="H152" i="9"/>
  <c r="M151" i="9"/>
  <c r="I151" i="9"/>
  <c r="J151" i="9" s="1"/>
  <c r="H151" i="9"/>
  <c r="M150" i="9"/>
  <c r="I150" i="9"/>
  <c r="J150" i="9" s="1"/>
  <c r="H150" i="9"/>
  <c r="M149" i="9"/>
  <c r="I149" i="9"/>
  <c r="J149" i="9" s="1"/>
  <c r="H149" i="9"/>
  <c r="M148" i="9"/>
  <c r="I148" i="9"/>
  <c r="J148" i="9" s="1"/>
  <c r="H148" i="9"/>
  <c r="M147" i="9"/>
  <c r="I147" i="9"/>
  <c r="J147" i="9" s="1"/>
  <c r="H147" i="9"/>
  <c r="M146" i="9"/>
  <c r="I146" i="9"/>
  <c r="J146" i="9" s="1"/>
  <c r="H146" i="9"/>
  <c r="M145" i="9"/>
  <c r="I145" i="9"/>
  <c r="J145" i="9" s="1"/>
  <c r="H145" i="9"/>
  <c r="M144" i="9"/>
  <c r="I144" i="9"/>
  <c r="J144" i="9" s="1"/>
  <c r="H144" i="9"/>
  <c r="M143" i="9"/>
  <c r="I143" i="9"/>
  <c r="J143" i="9" s="1"/>
  <c r="H143" i="9"/>
  <c r="M142" i="9"/>
  <c r="I142" i="9"/>
  <c r="J142" i="9" s="1"/>
  <c r="H142" i="9"/>
  <c r="M141" i="9"/>
  <c r="I141" i="9"/>
  <c r="J141" i="9" s="1"/>
  <c r="H141" i="9"/>
  <c r="M140" i="9"/>
  <c r="I140" i="9"/>
  <c r="J140" i="9" s="1"/>
  <c r="H140" i="9"/>
  <c r="M139" i="9"/>
  <c r="I139" i="9"/>
  <c r="J139" i="9" s="1"/>
  <c r="H139" i="9"/>
  <c r="M138" i="9"/>
  <c r="I138" i="9"/>
  <c r="J138" i="9" s="1"/>
  <c r="H138" i="9"/>
  <c r="M137" i="9"/>
  <c r="I137" i="9"/>
  <c r="J137" i="9" s="1"/>
  <c r="H137" i="9"/>
  <c r="M136" i="9"/>
  <c r="I136" i="9"/>
  <c r="J136" i="9" s="1"/>
  <c r="H136" i="9"/>
  <c r="M129" i="9"/>
  <c r="H129" i="9"/>
  <c r="I129" i="9" s="1"/>
  <c r="J129" i="9" s="1"/>
  <c r="M128" i="9"/>
  <c r="I128" i="9"/>
  <c r="J128" i="9" s="1"/>
  <c r="H128" i="9"/>
  <c r="M127" i="9"/>
  <c r="I127" i="9"/>
  <c r="J127" i="9" s="1"/>
  <c r="H127" i="9"/>
  <c r="M126" i="9"/>
  <c r="I126" i="9"/>
  <c r="J126" i="9" s="1"/>
  <c r="H126" i="9"/>
  <c r="M125" i="9"/>
  <c r="I125" i="9"/>
  <c r="J125" i="9" s="1"/>
  <c r="H125" i="9"/>
  <c r="M124" i="9"/>
  <c r="I124" i="9"/>
  <c r="J124" i="9" s="1"/>
  <c r="H124" i="9"/>
  <c r="M123" i="9"/>
  <c r="I123" i="9"/>
  <c r="J123" i="9" s="1"/>
  <c r="H123" i="9"/>
  <c r="M122" i="9"/>
  <c r="I122" i="9"/>
  <c r="J122" i="9" s="1"/>
  <c r="H122" i="9"/>
  <c r="M121" i="9"/>
  <c r="I121" i="9"/>
  <c r="J121" i="9" s="1"/>
  <c r="H121" i="9"/>
  <c r="M120" i="9"/>
  <c r="H120" i="9"/>
  <c r="I120" i="9" s="1"/>
  <c r="M112" i="9"/>
  <c r="I112" i="9"/>
  <c r="J112" i="9" s="1"/>
  <c r="M111" i="9"/>
  <c r="I111" i="9"/>
  <c r="J111" i="9" s="1"/>
  <c r="M110" i="9"/>
  <c r="I110" i="9"/>
  <c r="J110" i="9" s="1"/>
  <c r="M109" i="9"/>
  <c r="I109" i="9"/>
  <c r="J109" i="9" s="1"/>
  <c r="M108" i="9"/>
  <c r="I108" i="9"/>
  <c r="M101" i="9"/>
  <c r="J101" i="9"/>
  <c r="M100" i="9"/>
  <c r="J100" i="9"/>
  <c r="M99" i="9"/>
  <c r="J99" i="9"/>
  <c r="M98" i="9"/>
  <c r="J98" i="9"/>
  <c r="M97" i="9"/>
  <c r="J97" i="9"/>
  <c r="J90" i="9"/>
  <c r="J89" i="9"/>
  <c r="J88" i="9"/>
  <c r="J87" i="9"/>
  <c r="M79" i="9"/>
  <c r="J79" i="9"/>
  <c r="M78" i="9"/>
  <c r="J78" i="9"/>
  <c r="M77" i="9"/>
  <c r="J77" i="9"/>
  <c r="M76" i="9"/>
  <c r="J76" i="9"/>
  <c r="M75" i="9"/>
  <c r="J75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M61" i="9"/>
  <c r="J61" i="9"/>
  <c r="M60" i="9"/>
  <c r="J60" i="9"/>
  <c r="M59" i="9"/>
  <c r="J52" i="9"/>
  <c r="J51" i="9"/>
  <c r="J50" i="9"/>
  <c r="J49" i="9"/>
  <c r="J31" i="9"/>
  <c r="J30" i="9"/>
  <c r="J29" i="9"/>
  <c r="J28" i="9"/>
  <c r="J20" i="9"/>
  <c r="J19" i="9"/>
  <c r="J18" i="9"/>
  <c r="J17" i="9"/>
  <c r="J16" i="9"/>
  <c r="J8" i="9"/>
  <c r="L123" i="6" s="1"/>
  <c r="K56" i="5" s="1"/>
  <c r="L143" i="6" l="1"/>
  <c r="K143" i="6"/>
  <c r="E67" i="5"/>
  <c r="I292" i="9"/>
  <c r="J292" i="9" s="1"/>
  <c r="I296" i="9"/>
  <c r="J296" i="9" s="1"/>
  <c r="I300" i="9"/>
  <c r="J300" i="9" s="1"/>
  <c r="I329" i="9"/>
  <c r="J329" i="9" s="1"/>
  <c r="I333" i="9"/>
  <c r="J333" i="9" s="1"/>
  <c r="I293" i="9"/>
  <c r="J293" i="9" s="1"/>
  <c r="I297" i="9"/>
  <c r="J297" i="9" s="1"/>
  <c r="I326" i="9"/>
  <c r="J326" i="9" s="1"/>
  <c r="I330" i="9"/>
  <c r="J330" i="9" s="1"/>
  <c r="I334" i="9"/>
  <c r="J334" i="9" s="1"/>
  <c r="G229" i="9"/>
  <c r="I294" i="9"/>
  <c r="J294" i="9" s="1"/>
  <c r="I298" i="9"/>
  <c r="J298" i="9" s="1"/>
  <c r="I327" i="9"/>
  <c r="J327" i="9" s="1"/>
  <c r="I331" i="9"/>
  <c r="J331" i="9" s="1"/>
  <c r="J175" i="9"/>
  <c r="I179" i="9"/>
  <c r="K100" i="6" s="1"/>
  <c r="I295" i="9"/>
  <c r="J295" i="9" s="1"/>
  <c r="I299" i="9"/>
  <c r="J299" i="9" s="1"/>
  <c r="I328" i="9"/>
  <c r="J328" i="9" s="1"/>
  <c r="I332" i="9"/>
  <c r="J332" i="9" s="1"/>
  <c r="G343" i="9"/>
  <c r="I396" i="9"/>
  <c r="G196" i="9"/>
  <c r="I207" i="9"/>
  <c r="K102" i="6" s="1"/>
  <c r="I229" i="9"/>
  <c r="K104" i="6" s="1"/>
  <c r="J343" i="9"/>
  <c r="L110" i="6" s="1"/>
  <c r="I439" i="9"/>
  <c r="K117" i="6" s="1"/>
  <c r="G69" i="9"/>
  <c r="G80" i="9"/>
  <c r="I69" i="9"/>
  <c r="K93" i="6" s="1"/>
  <c r="J80" i="9"/>
  <c r="L94" i="6" s="1"/>
  <c r="G102" i="9"/>
  <c r="G439" i="9"/>
  <c r="K91" i="6"/>
  <c r="I376" i="9"/>
  <c r="K113" i="6" s="1"/>
  <c r="G207" i="9"/>
  <c r="G218" i="9"/>
  <c r="G113" i="9"/>
  <c r="G156" i="9"/>
  <c r="G428" i="9"/>
  <c r="I113" i="9"/>
  <c r="K97" i="6" s="1"/>
  <c r="G130" i="9"/>
  <c r="G179" i="9"/>
  <c r="I218" i="9"/>
  <c r="K103" i="6" s="1"/>
  <c r="I240" i="9"/>
  <c r="K105" i="6" s="1"/>
  <c r="I417" i="9"/>
  <c r="K115" i="6" s="1"/>
  <c r="G417" i="9"/>
  <c r="G461" i="9"/>
  <c r="I53" i="9"/>
  <c r="K92" i="6" s="1"/>
  <c r="I91" i="9"/>
  <c r="K95" i="6" s="1"/>
  <c r="G168" i="9"/>
  <c r="G240" i="9"/>
  <c r="G257" i="9"/>
  <c r="G268" i="9"/>
  <c r="I286" i="9"/>
  <c r="I354" i="9"/>
  <c r="K111" i="6" s="1"/>
  <c r="I365" i="9"/>
  <c r="K112" i="6" s="1"/>
  <c r="G365" i="9"/>
  <c r="J371" i="9"/>
  <c r="J376" i="9" s="1"/>
  <c r="L113" i="6" s="1"/>
  <c r="G406" i="9"/>
  <c r="J417" i="9"/>
  <c r="L115" i="6" s="1"/>
  <c r="I428" i="9"/>
  <c r="K116" i="6" s="1"/>
  <c r="G376" i="9"/>
  <c r="J428" i="9"/>
  <c r="L116" i="6" s="1"/>
  <c r="I130" i="9"/>
  <c r="I268" i="9"/>
  <c r="K107" i="6" s="1"/>
  <c r="I320" i="9"/>
  <c r="G354" i="9"/>
  <c r="I406" i="9"/>
  <c r="J434" i="9"/>
  <c r="J439" i="9" s="1"/>
  <c r="L117" i="6" s="1"/>
  <c r="I461" i="9"/>
  <c r="K119" i="6" s="1"/>
  <c r="I196" i="9"/>
  <c r="K101" i="6" s="1"/>
  <c r="J186" i="9"/>
  <c r="J196" i="9" s="1"/>
  <c r="L101" i="6" s="1"/>
  <c r="J102" i="9"/>
  <c r="L96" i="6" s="1"/>
  <c r="J21" i="9"/>
  <c r="L90" i="6" s="1"/>
  <c r="J325" i="9"/>
  <c r="J389" i="9"/>
  <c r="J354" i="9"/>
  <c r="L111" i="6" s="1"/>
  <c r="J156" i="9"/>
  <c r="J168" i="9"/>
  <c r="L99" i="6" s="1"/>
  <c r="J257" i="9"/>
  <c r="L106" i="6" s="1"/>
  <c r="J268" i="9"/>
  <c r="L107" i="6" s="1"/>
  <c r="J406" i="9"/>
  <c r="J461" i="9"/>
  <c r="L119" i="6" s="1"/>
  <c r="I21" i="9"/>
  <c r="K90" i="6" s="1"/>
  <c r="J27" i="9"/>
  <c r="J42" i="9" s="1"/>
  <c r="L91" i="6" s="1"/>
  <c r="J59" i="9"/>
  <c r="J69" i="9" s="1"/>
  <c r="L93" i="6" s="1"/>
  <c r="I80" i="9"/>
  <c r="K94" i="6" s="1"/>
  <c r="I102" i="9"/>
  <c r="K96" i="6" s="1"/>
  <c r="I156" i="9"/>
  <c r="I168" i="9"/>
  <c r="K99" i="6" s="1"/>
  <c r="J202" i="9"/>
  <c r="J207" i="9" s="1"/>
  <c r="L102" i="6" s="1"/>
  <c r="J224" i="9"/>
  <c r="J229" i="9" s="1"/>
  <c r="L104" i="6" s="1"/>
  <c r="I257" i="9"/>
  <c r="K106" i="6" s="1"/>
  <c r="J360" i="9"/>
  <c r="J365" i="9" s="1"/>
  <c r="L112" i="6" s="1"/>
  <c r="I389" i="9"/>
  <c r="J396" i="9"/>
  <c r="J86" i="9"/>
  <c r="J91" i="9" s="1"/>
  <c r="L95" i="6" s="1"/>
  <c r="J108" i="9"/>
  <c r="J113" i="9" s="1"/>
  <c r="L97" i="6" s="1"/>
  <c r="J174" i="9"/>
  <c r="J179" i="9" s="1"/>
  <c r="L100" i="6" s="1"/>
  <c r="I343" i="9"/>
  <c r="K110" i="6" s="1"/>
  <c r="J48" i="9"/>
  <c r="J53" i="9" s="1"/>
  <c r="L92" i="6" s="1"/>
  <c r="J120" i="9"/>
  <c r="J130" i="9" s="1"/>
  <c r="J213" i="9"/>
  <c r="J218" i="9" s="1"/>
  <c r="L103" i="6" s="1"/>
  <c r="J235" i="9"/>
  <c r="J240" i="9" s="1"/>
  <c r="L105" i="6" s="1"/>
  <c r="J276" i="9"/>
  <c r="J286" i="9" s="1"/>
  <c r="J310" i="9"/>
  <c r="J320" i="9" s="1"/>
  <c r="S88" i="8"/>
  <c r="S89" i="8"/>
  <c r="S90" i="8"/>
  <c r="S91" i="8"/>
  <c r="S87" i="8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S41" i="8"/>
  <c r="S42" i="8"/>
  <c r="S43" i="8"/>
  <c r="S44" i="8"/>
  <c r="S45" i="8"/>
  <c r="S46" i="8"/>
  <c r="S47" i="8"/>
  <c r="S48" i="8"/>
  <c r="S49" i="8"/>
  <c r="S50" i="8"/>
  <c r="S55" i="8"/>
  <c r="S56" i="8"/>
  <c r="S57" i="8"/>
  <c r="S58" i="8"/>
  <c r="S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S23" i="8"/>
  <c r="S24" i="8"/>
  <c r="S25" i="8"/>
  <c r="S26" i="8"/>
  <c r="U26" i="8" s="1"/>
  <c r="S27" i="8"/>
  <c r="S28" i="8"/>
  <c r="S29" i="8"/>
  <c r="U29" i="8" s="1"/>
  <c r="S30" i="8"/>
  <c r="U30" i="8" s="1"/>
  <c r="S31" i="8"/>
  <c r="S32" i="8"/>
  <c r="S33" i="8"/>
  <c r="U33" i="8" s="1"/>
  <c r="S34" i="8"/>
  <c r="U34" i="8" s="1"/>
  <c r="S35" i="8"/>
  <c r="S36" i="8"/>
  <c r="U25" i="8" l="1"/>
  <c r="U32" i="8"/>
  <c r="U24" i="8"/>
  <c r="U36" i="8"/>
  <c r="U28" i="8"/>
  <c r="U35" i="8"/>
  <c r="U31" i="8"/>
  <c r="U27" i="8"/>
  <c r="U23" i="8"/>
  <c r="I407" i="9"/>
  <c r="K114" i="6" s="1"/>
  <c r="I335" i="9"/>
  <c r="I301" i="9"/>
  <c r="I302" i="9" s="1"/>
  <c r="K108" i="6" s="1"/>
  <c r="M13" i="9"/>
  <c r="I7" i="9" s="1"/>
  <c r="J301" i="9"/>
  <c r="J302" i="9" s="1"/>
  <c r="L108" i="6" s="1"/>
  <c r="I336" i="9"/>
  <c r="K109" i="6" s="1"/>
  <c r="J335" i="9"/>
  <c r="J336" i="9" s="1"/>
  <c r="L109" i="6" s="1"/>
  <c r="I157" i="9"/>
  <c r="K98" i="6" s="1"/>
  <c r="U58" i="8"/>
  <c r="U50" i="8"/>
  <c r="U42" i="8"/>
  <c r="U57" i="8"/>
  <c r="U49" i="8"/>
  <c r="U45" i="8"/>
  <c r="U41" i="8"/>
  <c r="J407" i="9"/>
  <c r="L114" i="6" s="1"/>
  <c r="J157" i="9"/>
  <c r="L98" i="6" s="1"/>
  <c r="U59" i="8"/>
  <c r="U55" i="8"/>
  <c r="U47" i="8"/>
  <c r="U43" i="8"/>
  <c r="U46" i="8"/>
  <c r="U56" i="8"/>
  <c r="U48" i="8"/>
  <c r="U44" i="8"/>
  <c r="M37" i="8" l="1"/>
  <c r="L120" i="6"/>
  <c r="K120" i="6"/>
  <c r="J7" i="9"/>
  <c r="K122" i="6"/>
  <c r="E55" i="5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S255" i="8"/>
  <c r="U255" i="8" s="1"/>
  <c r="J255" i="8"/>
  <c r="T255" i="8" s="1"/>
  <c r="H255" i="8"/>
  <c r="I255" i="8" s="1"/>
  <c r="V254" i="8"/>
  <c r="S254" i="8"/>
  <c r="U254" i="8" s="1"/>
  <c r="W254" i="8" s="1"/>
  <c r="J254" i="8"/>
  <c r="T254" i="8" s="1"/>
  <c r="H254" i="8"/>
  <c r="I254" i="8" s="1"/>
  <c r="V253" i="8"/>
  <c r="S253" i="8"/>
  <c r="U253" i="8" s="1"/>
  <c r="J253" i="8"/>
  <c r="T253" i="8" s="1"/>
  <c r="H253" i="8"/>
  <c r="I253" i="8" s="1"/>
  <c r="V252" i="8"/>
  <c r="S252" i="8"/>
  <c r="U252" i="8" s="1"/>
  <c r="J252" i="8"/>
  <c r="T252" i="8" s="1"/>
  <c r="H252" i="8"/>
  <c r="I252" i="8" s="1"/>
  <c r="V251" i="8"/>
  <c r="S251" i="8"/>
  <c r="U251" i="8" s="1"/>
  <c r="J251" i="8"/>
  <c r="T251" i="8" s="1"/>
  <c r="H251" i="8"/>
  <c r="I251" i="8" s="1"/>
  <c r="V250" i="8"/>
  <c r="S250" i="8"/>
  <c r="U250" i="8" s="1"/>
  <c r="J250" i="8"/>
  <c r="T250" i="8" s="1"/>
  <c r="H250" i="8"/>
  <c r="I250" i="8" s="1"/>
  <c r="V249" i="8"/>
  <c r="S249" i="8"/>
  <c r="U249" i="8" s="1"/>
  <c r="J249" i="8"/>
  <c r="T249" i="8" s="1"/>
  <c r="H249" i="8"/>
  <c r="I249" i="8" s="1"/>
  <c r="V248" i="8"/>
  <c r="S248" i="8"/>
  <c r="U248" i="8" s="1"/>
  <c r="J248" i="8"/>
  <c r="T248" i="8" s="1"/>
  <c r="H248" i="8"/>
  <c r="I248" i="8" s="1"/>
  <c r="V247" i="8"/>
  <c r="S247" i="8"/>
  <c r="U247" i="8" s="1"/>
  <c r="J247" i="8"/>
  <c r="T247" i="8" s="1"/>
  <c r="H247" i="8"/>
  <c r="I247" i="8" s="1"/>
  <c r="V246" i="8"/>
  <c r="S246" i="8"/>
  <c r="U246" i="8" s="1"/>
  <c r="J246" i="8"/>
  <c r="T246" i="8" s="1"/>
  <c r="H246" i="8"/>
  <c r="I246" i="8" s="1"/>
  <c r="V245" i="8"/>
  <c r="S245" i="8"/>
  <c r="U245" i="8" s="1"/>
  <c r="J245" i="8"/>
  <c r="T245" i="8" s="1"/>
  <c r="H245" i="8"/>
  <c r="I245" i="8" s="1"/>
  <c r="V244" i="8"/>
  <c r="S244" i="8"/>
  <c r="U244" i="8" s="1"/>
  <c r="W244" i="8" s="1"/>
  <c r="J244" i="8"/>
  <c r="T244" i="8" s="1"/>
  <c r="H244" i="8"/>
  <c r="I244" i="8" s="1"/>
  <c r="V243" i="8"/>
  <c r="S243" i="8"/>
  <c r="U243" i="8" s="1"/>
  <c r="J243" i="8"/>
  <c r="T243" i="8" s="1"/>
  <c r="H243" i="8"/>
  <c r="I243" i="8" s="1"/>
  <c r="V242" i="8"/>
  <c r="S242" i="8"/>
  <c r="U242" i="8" s="1"/>
  <c r="W242" i="8" s="1"/>
  <c r="J242" i="8"/>
  <c r="T242" i="8" s="1"/>
  <c r="H242" i="8"/>
  <c r="I242" i="8" s="1"/>
  <c r="V241" i="8"/>
  <c r="S241" i="8"/>
  <c r="U241" i="8" s="1"/>
  <c r="J241" i="8"/>
  <c r="T241" i="8" s="1"/>
  <c r="H241" i="8"/>
  <c r="I241" i="8" s="1"/>
  <c r="V240" i="8"/>
  <c r="S240" i="8"/>
  <c r="U240" i="8" s="1"/>
  <c r="W240" i="8" s="1"/>
  <c r="J240" i="8"/>
  <c r="T240" i="8" s="1"/>
  <c r="H240" i="8"/>
  <c r="I240" i="8" s="1"/>
  <c r="V239" i="8"/>
  <c r="S239" i="8"/>
  <c r="U239" i="8" s="1"/>
  <c r="J239" i="8"/>
  <c r="T239" i="8" s="1"/>
  <c r="H239" i="8"/>
  <c r="I239" i="8" s="1"/>
  <c r="V238" i="8"/>
  <c r="S238" i="8"/>
  <c r="U238" i="8" s="1"/>
  <c r="J238" i="8"/>
  <c r="T238" i="8" s="1"/>
  <c r="H238" i="8"/>
  <c r="I238" i="8" s="1"/>
  <c r="V237" i="8"/>
  <c r="S237" i="8"/>
  <c r="U237" i="8" s="1"/>
  <c r="J237" i="8"/>
  <c r="T237" i="8" s="1"/>
  <c r="H237" i="8"/>
  <c r="I237" i="8" s="1"/>
  <c r="V236" i="8"/>
  <c r="S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V201" i="8"/>
  <c r="T201" i="8"/>
  <c r="S201" i="8"/>
  <c r="G201" i="8"/>
  <c r="H201" i="8" s="1"/>
  <c r="I201" i="8" s="1"/>
  <c r="V200" i="8"/>
  <c r="T200" i="8"/>
  <c r="S200" i="8"/>
  <c r="U200" i="8" s="1"/>
  <c r="W200" i="8" s="1"/>
  <c r="H200" i="8"/>
  <c r="I200" i="8" s="1"/>
  <c r="G200" i="8"/>
  <c r="V199" i="8"/>
  <c r="T199" i="8"/>
  <c r="S199" i="8"/>
  <c r="U199" i="8" s="1"/>
  <c r="W199" i="8" s="1"/>
  <c r="H199" i="8"/>
  <c r="I199" i="8" s="1"/>
  <c r="G199" i="8"/>
  <c r="V198" i="8"/>
  <c r="T198" i="8"/>
  <c r="S198" i="8"/>
  <c r="U198" i="8" s="1"/>
  <c r="W198" i="8" s="1"/>
  <c r="H198" i="8"/>
  <c r="I198" i="8" s="1"/>
  <c r="G198" i="8"/>
  <c r="V197" i="8"/>
  <c r="T197" i="8"/>
  <c r="S197" i="8"/>
  <c r="U197" i="8" s="1"/>
  <c r="W197" i="8" s="1"/>
  <c r="H197" i="8"/>
  <c r="I197" i="8" s="1"/>
  <c r="G197" i="8"/>
  <c r="V196" i="8"/>
  <c r="T196" i="8"/>
  <c r="S196" i="8"/>
  <c r="U196" i="8" s="1"/>
  <c r="W196" i="8" s="1"/>
  <c r="H196" i="8"/>
  <c r="I196" i="8" s="1"/>
  <c r="G196" i="8"/>
  <c r="V195" i="8"/>
  <c r="T195" i="8"/>
  <c r="S195" i="8"/>
  <c r="U195" i="8" s="1"/>
  <c r="W195" i="8" s="1"/>
  <c r="H195" i="8"/>
  <c r="I195" i="8" s="1"/>
  <c r="G195" i="8"/>
  <c r="V194" i="8"/>
  <c r="T194" i="8"/>
  <c r="S194" i="8"/>
  <c r="U194" i="8" s="1"/>
  <c r="W194" i="8" s="1"/>
  <c r="H194" i="8"/>
  <c r="I194" i="8" s="1"/>
  <c r="G194" i="8"/>
  <c r="V193" i="8"/>
  <c r="T193" i="8"/>
  <c r="S193" i="8"/>
  <c r="U193" i="8" s="1"/>
  <c r="W193" i="8" s="1"/>
  <c r="H193" i="8"/>
  <c r="I193" i="8" s="1"/>
  <c r="G193" i="8"/>
  <c r="V192" i="8"/>
  <c r="T192" i="8"/>
  <c r="S192" i="8"/>
  <c r="U192" i="8" s="1"/>
  <c r="W192" i="8" s="1"/>
  <c r="H192" i="8"/>
  <c r="I192" i="8" s="1"/>
  <c r="G192" i="8"/>
  <c r="V191" i="8"/>
  <c r="T191" i="8"/>
  <c r="S191" i="8"/>
  <c r="U191" i="8" s="1"/>
  <c r="W191" i="8" s="1"/>
  <c r="H191" i="8"/>
  <c r="I191" i="8" s="1"/>
  <c r="G191" i="8"/>
  <c r="V190" i="8"/>
  <c r="T190" i="8"/>
  <c r="S190" i="8"/>
  <c r="U190" i="8" s="1"/>
  <c r="W190" i="8" s="1"/>
  <c r="H190" i="8"/>
  <c r="I190" i="8" s="1"/>
  <c r="G190" i="8"/>
  <c r="V189" i="8"/>
  <c r="T189" i="8"/>
  <c r="S189" i="8"/>
  <c r="U189" i="8" s="1"/>
  <c r="W189" i="8" s="1"/>
  <c r="H189" i="8"/>
  <c r="I189" i="8" s="1"/>
  <c r="G189" i="8"/>
  <c r="V188" i="8"/>
  <c r="T188" i="8"/>
  <c r="S188" i="8"/>
  <c r="U188" i="8" s="1"/>
  <c r="W188" i="8" s="1"/>
  <c r="H188" i="8"/>
  <c r="I188" i="8" s="1"/>
  <c r="G188" i="8"/>
  <c r="V187" i="8"/>
  <c r="T187" i="8"/>
  <c r="S187" i="8"/>
  <c r="U187" i="8" s="1"/>
  <c r="W187" i="8" s="1"/>
  <c r="H187" i="8"/>
  <c r="I187" i="8" s="1"/>
  <c r="G187" i="8"/>
  <c r="V186" i="8"/>
  <c r="T186" i="8"/>
  <c r="S186" i="8"/>
  <c r="U186" i="8" s="1"/>
  <c r="W186" i="8" s="1"/>
  <c r="H186" i="8"/>
  <c r="I186" i="8" s="1"/>
  <c r="G186" i="8"/>
  <c r="V185" i="8"/>
  <c r="T185" i="8"/>
  <c r="S185" i="8"/>
  <c r="U185" i="8" s="1"/>
  <c r="W185" i="8" s="1"/>
  <c r="H185" i="8"/>
  <c r="I185" i="8" s="1"/>
  <c r="G185" i="8"/>
  <c r="V184" i="8"/>
  <c r="T184" i="8"/>
  <c r="S184" i="8"/>
  <c r="U184" i="8" s="1"/>
  <c r="W184" i="8" s="1"/>
  <c r="H184" i="8"/>
  <c r="I184" i="8" s="1"/>
  <c r="G184" i="8"/>
  <c r="V183" i="8"/>
  <c r="T183" i="8"/>
  <c r="S183" i="8"/>
  <c r="U183" i="8" s="1"/>
  <c r="W183" i="8" s="1"/>
  <c r="H183" i="8"/>
  <c r="I183" i="8" s="1"/>
  <c r="G183" i="8"/>
  <c r="V182" i="8"/>
  <c r="T182" i="8"/>
  <c r="S182" i="8"/>
  <c r="H182" i="8"/>
  <c r="G182" i="8"/>
  <c r="G181" i="8"/>
  <c r="H181" i="8" s="1"/>
  <c r="I181" i="8" s="1"/>
  <c r="V174" i="8"/>
  <c r="T174" i="8"/>
  <c r="S174" i="8"/>
  <c r="G174" i="8"/>
  <c r="H174" i="8" s="1"/>
  <c r="I174" i="8" s="1"/>
  <c r="V173" i="8"/>
  <c r="T173" i="8"/>
  <c r="S173" i="8"/>
  <c r="U173" i="8" s="1"/>
  <c r="W173" i="8" s="1"/>
  <c r="H173" i="8"/>
  <c r="I173" i="8" s="1"/>
  <c r="G173" i="8"/>
  <c r="V172" i="8"/>
  <c r="T172" i="8"/>
  <c r="S172" i="8"/>
  <c r="U172" i="8" s="1"/>
  <c r="W172" i="8" s="1"/>
  <c r="H172" i="8"/>
  <c r="I172" i="8" s="1"/>
  <c r="G172" i="8"/>
  <c r="V171" i="8"/>
  <c r="T171" i="8"/>
  <c r="S171" i="8"/>
  <c r="U171" i="8" s="1"/>
  <c r="W171" i="8" s="1"/>
  <c r="H171" i="8"/>
  <c r="I171" i="8" s="1"/>
  <c r="G171" i="8"/>
  <c r="V170" i="8"/>
  <c r="T170" i="8"/>
  <c r="S170" i="8"/>
  <c r="U170" i="8" s="1"/>
  <c r="W170" i="8" s="1"/>
  <c r="H170" i="8"/>
  <c r="I170" i="8" s="1"/>
  <c r="G170" i="8"/>
  <c r="V169" i="8"/>
  <c r="T169" i="8"/>
  <c r="S169" i="8"/>
  <c r="U169" i="8" s="1"/>
  <c r="W169" i="8" s="1"/>
  <c r="H169" i="8"/>
  <c r="I169" i="8" s="1"/>
  <c r="G169" i="8"/>
  <c r="V168" i="8"/>
  <c r="T168" i="8"/>
  <c r="S168" i="8"/>
  <c r="U168" i="8" s="1"/>
  <c r="W168" i="8" s="1"/>
  <c r="H168" i="8"/>
  <c r="I168" i="8" s="1"/>
  <c r="G168" i="8"/>
  <c r="V167" i="8"/>
  <c r="T167" i="8"/>
  <c r="S167" i="8"/>
  <c r="U167" i="8" s="1"/>
  <c r="W167" i="8" s="1"/>
  <c r="H167" i="8"/>
  <c r="I167" i="8" s="1"/>
  <c r="G167" i="8"/>
  <c r="V166" i="8"/>
  <c r="T166" i="8"/>
  <c r="S166" i="8"/>
  <c r="U166" i="8" s="1"/>
  <c r="W166" i="8" s="1"/>
  <c r="H166" i="8"/>
  <c r="I166" i="8" s="1"/>
  <c r="G166" i="8"/>
  <c r="V165" i="8"/>
  <c r="T165" i="8"/>
  <c r="S165" i="8"/>
  <c r="U165" i="8" s="1"/>
  <c r="W165" i="8" s="1"/>
  <c r="H165" i="8"/>
  <c r="I165" i="8" s="1"/>
  <c r="G165" i="8"/>
  <c r="V164" i="8"/>
  <c r="T164" i="8"/>
  <c r="S164" i="8"/>
  <c r="U164" i="8" s="1"/>
  <c r="W164" i="8" s="1"/>
  <c r="H164" i="8"/>
  <c r="I164" i="8" s="1"/>
  <c r="G164" i="8"/>
  <c r="V163" i="8"/>
  <c r="T163" i="8"/>
  <c r="S163" i="8"/>
  <c r="U163" i="8" s="1"/>
  <c r="W163" i="8" s="1"/>
  <c r="H163" i="8"/>
  <c r="I163" i="8" s="1"/>
  <c r="G163" i="8"/>
  <c r="V162" i="8"/>
  <c r="T162" i="8"/>
  <c r="S162" i="8"/>
  <c r="U162" i="8" s="1"/>
  <c r="W162" i="8" s="1"/>
  <c r="H162" i="8"/>
  <c r="I162" i="8" s="1"/>
  <c r="G162" i="8"/>
  <c r="V161" i="8"/>
  <c r="T161" i="8"/>
  <c r="S161" i="8"/>
  <c r="U161" i="8" s="1"/>
  <c r="W161" i="8" s="1"/>
  <c r="H161" i="8"/>
  <c r="I161" i="8" s="1"/>
  <c r="G161" i="8"/>
  <c r="V160" i="8"/>
  <c r="T160" i="8"/>
  <c r="S160" i="8"/>
  <c r="U160" i="8" s="1"/>
  <c r="W160" i="8" s="1"/>
  <c r="H160" i="8"/>
  <c r="I160" i="8" s="1"/>
  <c r="G160" i="8"/>
  <c r="V159" i="8"/>
  <c r="T159" i="8"/>
  <c r="S159" i="8"/>
  <c r="U159" i="8" s="1"/>
  <c r="W159" i="8" s="1"/>
  <c r="H159" i="8"/>
  <c r="I159" i="8" s="1"/>
  <c r="G159" i="8"/>
  <c r="V158" i="8"/>
  <c r="T158" i="8"/>
  <c r="S158" i="8"/>
  <c r="U158" i="8" s="1"/>
  <c r="W158" i="8" s="1"/>
  <c r="H158" i="8"/>
  <c r="I158" i="8" s="1"/>
  <c r="G158" i="8"/>
  <c r="V157" i="8"/>
  <c r="T157" i="8"/>
  <c r="S157" i="8"/>
  <c r="U157" i="8" s="1"/>
  <c r="W157" i="8" s="1"/>
  <c r="H157" i="8"/>
  <c r="I157" i="8" s="1"/>
  <c r="G157" i="8"/>
  <c r="V156" i="8"/>
  <c r="T156" i="8"/>
  <c r="S156" i="8"/>
  <c r="U156" i="8" s="1"/>
  <c r="W156" i="8" s="1"/>
  <c r="H156" i="8"/>
  <c r="I156" i="8" s="1"/>
  <c r="G156" i="8"/>
  <c r="V155" i="8"/>
  <c r="T155" i="8"/>
  <c r="S155" i="8"/>
  <c r="H155" i="8"/>
  <c r="G155" i="8"/>
  <c r="G154" i="8"/>
  <c r="H154" i="8" s="1"/>
  <c r="I154" i="8" s="1"/>
  <c r="S147" i="8"/>
  <c r="J147" i="8"/>
  <c r="T147" i="8" s="1"/>
  <c r="H147" i="8"/>
  <c r="I147" i="8" s="1"/>
  <c r="S146" i="8"/>
  <c r="U146" i="8" s="1"/>
  <c r="J146" i="8"/>
  <c r="T146" i="8" s="1"/>
  <c r="H146" i="8"/>
  <c r="I146" i="8" s="1"/>
  <c r="S145" i="8"/>
  <c r="U145" i="8" s="1"/>
  <c r="W145" i="8" s="1"/>
  <c r="J145" i="8"/>
  <c r="T145" i="8" s="1"/>
  <c r="H145" i="8"/>
  <c r="I145" i="8" s="1"/>
  <c r="S144" i="8"/>
  <c r="U144" i="8" s="1"/>
  <c r="J144" i="8"/>
  <c r="T144" i="8" s="1"/>
  <c r="H144" i="8"/>
  <c r="I144" i="8" s="1"/>
  <c r="S143" i="8"/>
  <c r="U143" i="8" s="1"/>
  <c r="W143" i="8" s="1"/>
  <c r="J143" i="8"/>
  <c r="T143" i="8" s="1"/>
  <c r="H143" i="8"/>
  <c r="I143" i="8" s="1"/>
  <c r="S142" i="8"/>
  <c r="U142" i="8" s="1"/>
  <c r="J142" i="8"/>
  <c r="T142" i="8" s="1"/>
  <c r="H142" i="8"/>
  <c r="I142" i="8" s="1"/>
  <c r="S141" i="8"/>
  <c r="U141" i="8" s="1"/>
  <c r="W141" i="8" s="1"/>
  <c r="J141" i="8"/>
  <c r="T141" i="8" s="1"/>
  <c r="H141" i="8"/>
  <c r="I141" i="8" s="1"/>
  <c r="S140" i="8"/>
  <c r="U140" i="8" s="1"/>
  <c r="J140" i="8"/>
  <c r="T140" i="8" s="1"/>
  <c r="H140" i="8"/>
  <c r="I140" i="8" s="1"/>
  <c r="S139" i="8"/>
  <c r="U139" i="8" s="1"/>
  <c r="W139" i="8" s="1"/>
  <c r="J139" i="8"/>
  <c r="T139" i="8" s="1"/>
  <c r="H139" i="8"/>
  <c r="I139" i="8" s="1"/>
  <c r="S138" i="8"/>
  <c r="U138" i="8" s="1"/>
  <c r="J138" i="8"/>
  <c r="T138" i="8" s="1"/>
  <c r="H138" i="8"/>
  <c r="I138" i="8" s="1"/>
  <c r="S137" i="8"/>
  <c r="U137" i="8" s="1"/>
  <c r="W137" i="8" s="1"/>
  <c r="J137" i="8"/>
  <c r="T137" i="8" s="1"/>
  <c r="H137" i="8"/>
  <c r="I137" i="8" s="1"/>
  <c r="S136" i="8"/>
  <c r="U136" i="8" s="1"/>
  <c r="J136" i="8"/>
  <c r="T136" i="8" s="1"/>
  <c r="H136" i="8"/>
  <c r="I136" i="8" s="1"/>
  <c r="S135" i="8"/>
  <c r="U135" i="8" s="1"/>
  <c r="W135" i="8" s="1"/>
  <c r="J135" i="8"/>
  <c r="T135" i="8" s="1"/>
  <c r="H135" i="8"/>
  <c r="I135" i="8" s="1"/>
  <c r="S134" i="8"/>
  <c r="U134" i="8" s="1"/>
  <c r="J134" i="8"/>
  <c r="T134" i="8" s="1"/>
  <c r="H134" i="8"/>
  <c r="I134" i="8" s="1"/>
  <c r="S133" i="8"/>
  <c r="U133" i="8" s="1"/>
  <c r="W133" i="8" s="1"/>
  <c r="J133" i="8"/>
  <c r="T133" i="8" s="1"/>
  <c r="H133" i="8"/>
  <c r="I133" i="8" s="1"/>
  <c r="S132" i="8"/>
  <c r="U132" i="8" s="1"/>
  <c r="J132" i="8"/>
  <c r="T132" i="8" s="1"/>
  <c r="H132" i="8"/>
  <c r="I132" i="8" s="1"/>
  <c r="S131" i="8"/>
  <c r="U131" i="8" s="1"/>
  <c r="W131" i="8" s="1"/>
  <c r="J131" i="8"/>
  <c r="T131" i="8" s="1"/>
  <c r="H131" i="8"/>
  <c r="I131" i="8" s="1"/>
  <c r="S130" i="8"/>
  <c r="U130" i="8" s="1"/>
  <c r="J130" i="8"/>
  <c r="T130" i="8" s="1"/>
  <c r="H130" i="8"/>
  <c r="I130" i="8" s="1"/>
  <c r="S129" i="8"/>
  <c r="U129" i="8" s="1"/>
  <c r="W129" i="8" s="1"/>
  <c r="J129" i="8"/>
  <c r="T129" i="8" s="1"/>
  <c r="H129" i="8"/>
  <c r="I129" i="8" s="1"/>
  <c r="S128" i="8"/>
  <c r="J128" i="8"/>
  <c r="T128" i="8" s="1"/>
  <c r="H128" i="8"/>
  <c r="J127" i="8"/>
  <c r="H127" i="8"/>
  <c r="I127" i="8" s="1"/>
  <c r="T120" i="8"/>
  <c r="S120" i="8"/>
  <c r="G120" i="8"/>
  <c r="H120" i="8" s="1"/>
  <c r="I120" i="8" s="1"/>
  <c r="V119" i="8"/>
  <c r="T119" i="8"/>
  <c r="S119" i="8"/>
  <c r="U119" i="8" s="1"/>
  <c r="H119" i="8"/>
  <c r="I119" i="8" s="1"/>
  <c r="G119" i="8"/>
  <c r="V118" i="8"/>
  <c r="T118" i="8"/>
  <c r="S118" i="8"/>
  <c r="U118" i="8" s="1"/>
  <c r="H118" i="8"/>
  <c r="I118" i="8" s="1"/>
  <c r="G118" i="8"/>
  <c r="V117" i="8"/>
  <c r="T117" i="8"/>
  <c r="S117" i="8"/>
  <c r="U117" i="8" s="1"/>
  <c r="W117" i="8" s="1"/>
  <c r="H117" i="8"/>
  <c r="I117" i="8" s="1"/>
  <c r="G117" i="8"/>
  <c r="V116" i="8"/>
  <c r="T116" i="8"/>
  <c r="S116" i="8"/>
  <c r="U116" i="8" s="1"/>
  <c r="H116" i="8"/>
  <c r="I116" i="8" s="1"/>
  <c r="G116" i="8"/>
  <c r="V115" i="8"/>
  <c r="T115" i="8"/>
  <c r="S115" i="8"/>
  <c r="U115" i="8" s="1"/>
  <c r="H115" i="8"/>
  <c r="I115" i="8" s="1"/>
  <c r="G115" i="8"/>
  <c r="V114" i="8"/>
  <c r="T114" i="8"/>
  <c r="S114" i="8"/>
  <c r="U114" i="8" s="1"/>
  <c r="H114" i="8"/>
  <c r="I114" i="8" s="1"/>
  <c r="G114" i="8"/>
  <c r="V113" i="8"/>
  <c r="T113" i="8"/>
  <c r="S113" i="8"/>
  <c r="U113" i="8" s="1"/>
  <c r="W113" i="8" s="1"/>
  <c r="H113" i="8"/>
  <c r="I113" i="8" s="1"/>
  <c r="G113" i="8"/>
  <c r="V112" i="8"/>
  <c r="T112" i="8"/>
  <c r="S112" i="8"/>
  <c r="U112" i="8" s="1"/>
  <c r="H112" i="8"/>
  <c r="I112" i="8" s="1"/>
  <c r="G112" i="8"/>
  <c r="V111" i="8"/>
  <c r="T111" i="8"/>
  <c r="S111" i="8"/>
  <c r="U111" i="8" s="1"/>
  <c r="H111" i="8"/>
  <c r="I111" i="8" s="1"/>
  <c r="G111" i="8"/>
  <c r="V110" i="8"/>
  <c r="T110" i="8"/>
  <c r="S110" i="8"/>
  <c r="U110" i="8" s="1"/>
  <c r="H110" i="8"/>
  <c r="I110" i="8" s="1"/>
  <c r="G110" i="8"/>
  <c r="V109" i="8"/>
  <c r="T109" i="8"/>
  <c r="S109" i="8"/>
  <c r="U109" i="8" s="1"/>
  <c r="W109" i="8" s="1"/>
  <c r="H109" i="8"/>
  <c r="I109" i="8" s="1"/>
  <c r="G109" i="8"/>
  <c r="V108" i="8"/>
  <c r="T108" i="8"/>
  <c r="S108" i="8"/>
  <c r="U108" i="8" s="1"/>
  <c r="H108" i="8"/>
  <c r="I108" i="8" s="1"/>
  <c r="G108" i="8"/>
  <c r="V107" i="8"/>
  <c r="T107" i="8"/>
  <c r="S107" i="8"/>
  <c r="U107" i="8" s="1"/>
  <c r="H107" i="8"/>
  <c r="I107" i="8" s="1"/>
  <c r="G107" i="8"/>
  <c r="V106" i="8"/>
  <c r="T106" i="8"/>
  <c r="S106" i="8"/>
  <c r="U106" i="8" s="1"/>
  <c r="H106" i="8"/>
  <c r="I106" i="8" s="1"/>
  <c r="G106" i="8"/>
  <c r="T105" i="8"/>
  <c r="S105" i="8"/>
  <c r="G105" i="8"/>
  <c r="H105" i="8" s="1"/>
  <c r="I105" i="8" s="1"/>
  <c r="T104" i="8"/>
  <c r="S104" i="8"/>
  <c r="G104" i="8"/>
  <c r="H104" i="8" s="1"/>
  <c r="I104" i="8" s="1"/>
  <c r="T103" i="8"/>
  <c r="S103" i="8"/>
  <c r="G103" i="8"/>
  <c r="H103" i="8" s="1"/>
  <c r="I103" i="8" s="1"/>
  <c r="V102" i="8"/>
  <c r="T102" i="8"/>
  <c r="S102" i="8"/>
  <c r="G102" i="8"/>
  <c r="H102" i="8" s="1"/>
  <c r="I102" i="8" s="1"/>
  <c r="V101" i="8"/>
  <c r="T101" i="8"/>
  <c r="S101" i="8"/>
  <c r="G101" i="8"/>
  <c r="H101" i="8" s="1"/>
  <c r="I101" i="8" s="1"/>
  <c r="G100" i="8"/>
  <c r="H100" i="8" s="1"/>
  <c r="I100" i="8" s="1"/>
  <c r="H91" i="8"/>
  <c r="I91" i="8" s="1"/>
  <c r="G91" i="8"/>
  <c r="H90" i="8"/>
  <c r="I90" i="8" s="1"/>
  <c r="G90" i="8"/>
  <c r="H89" i="8"/>
  <c r="I89" i="8" s="1"/>
  <c r="G89" i="8"/>
  <c r="H88" i="8"/>
  <c r="I88" i="8" s="1"/>
  <c r="G88" i="8"/>
  <c r="H87" i="8"/>
  <c r="I87" i="8" s="1"/>
  <c r="G87" i="8"/>
  <c r="H59" i="8"/>
  <c r="I59" i="8" s="1"/>
  <c r="H58" i="8"/>
  <c r="I58" i="8" s="1"/>
  <c r="H57" i="8"/>
  <c r="I57" i="8" s="1"/>
  <c r="H56" i="8"/>
  <c r="I56" i="8" s="1"/>
  <c r="H55" i="8"/>
  <c r="H341" i="7"/>
  <c r="J341" i="7" s="1"/>
  <c r="H342" i="7"/>
  <c r="J342" i="7" s="1"/>
  <c r="H343" i="7"/>
  <c r="J343" i="7" s="1"/>
  <c r="I341" i="7"/>
  <c r="I342" i="7"/>
  <c r="I343" i="7"/>
  <c r="O341" i="7"/>
  <c r="P341" i="7" s="1"/>
  <c r="O342" i="7"/>
  <c r="P342" i="7" s="1"/>
  <c r="O343" i="7"/>
  <c r="P343" i="7" s="1"/>
  <c r="N339" i="7"/>
  <c r="O339" i="7" s="1"/>
  <c r="P339" i="7" s="1"/>
  <c r="N340" i="7"/>
  <c r="O340" i="7" s="1"/>
  <c r="N341" i="7"/>
  <c r="N342" i="7"/>
  <c r="N343" i="7"/>
  <c r="N338" i="7"/>
  <c r="U103" i="8" l="1"/>
  <c r="U102" i="8"/>
  <c r="X102" i="8" s="1"/>
  <c r="U105" i="8"/>
  <c r="W105" i="8" s="1"/>
  <c r="U104" i="8"/>
  <c r="X104" i="8" s="1"/>
  <c r="I92" i="8"/>
  <c r="I209" i="8"/>
  <c r="H229" i="8"/>
  <c r="H37" i="8"/>
  <c r="I37" i="8"/>
  <c r="I51" i="8"/>
  <c r="U201" i="8"/>
  <c r="W201" i="8" s="1"/>
  <c r="U174" i="8"/>
  <c r="W174" i="8" s="1"/>
  <c r="U147" i="8"/>
  <c r="W147" i="8" s="1"/>
  <c r="U120" i="8"/>
  <c r="U101" i="8"/>
  <c r="W101" i="8" s="1"/>
  <c r="U128" i="8"/>
  <c r="W128" i="8" s="1"/>
  <c r="O148" i="8"/>
  <c r="N148" i="8"/>
  <c r="J10" i="9"/>
  <c r="L122" i="6"/>
  <c r="L125" i="6" s="1"/>
  <c r="V128" i="8"/>
  <c r="M148" i="8" s="1"/>
  <c r="U236" i="8"/>
  <c r="W236" i="8" s="1"/>
  <c r="F267" i="8"/>
  <c r="O175" i="8"/>
  <c r="H202" i="8"/>
  <c r="H60" i="8"/>
  <c r="M202" i="8"/>
  <c r="P340" i="7"/>
  <c r="H340" i="7" s="1"/>
  <c r="W118" i="8"/>
  <c r="X118" i="8"/>
  <c r="W114" i="8"/>
  <c r="X114" i="8"/>
  <c r="W110" i="8"/>
  <c r="X110" i="8"/>
  <c r="W238" i="8"/>
  <c r="X238" i="8"/>
  <c r="I55" i="8"/>
  <c r="I60" i="8" s="1"/>
  <c r="H175" i="8"/>
  <c r="H256" i="8"/>
  <c r="H148" i="8"/>
  <c r="I182" i="8"/>
  <c r="I202" i="8" s="1"/>
  <c r="X240" i="8"/>
  <c r="H92" i="8"/>
  <c r="O202" i="8"/>
  <c r="H339" i="7"/>
  <c r="M256" i="8"/>
  <c r="M175" i="8"/>
  <c r="M92" i="8"/>
  <c r="X106" i="8"/>
  <c r="W106" i="8"/>
  <c r="W130" i="8"/>
  <c r="X130" i="8"/>
  <c r="W138" i="8"/>
  <c r="X138" i="8"/>
  <c r="W239" i="8"/>
  <c r="X239" i="8"/>
  <c r="W250" i="8"/>
  <c r="X250" i="8"/>
  <c r="W253" i="8"/>
  <c r="X253" i="8"/>
  <c r="W255" i="8"/>
  <c r="X255" i="8"/>
  <c r="W108" i="8"/>
  <c r="X108" i="8"/>
  <c r="W112" i="8"/>
  <c r="X112" i="8"/>
  <c r="W116" i="8"/>
  <c r="X116" i="8"/>
  <c r="W136" i="8"/>
  <c r="X136" i="8"/>
  <c r="W142" i="8"/>
  <c r="X142" i="8"/>
  <c r="W146" i="8"/>
  <c r="X146" i="8"/>
  <c r="W237" i="8"/>
  <c r="X237" i="8"/>
  <c r="W245" i="8"/>
  <c r="X245" i="8"/>
  <c r="W247" i="8"/>
  <c r="X247" i="8"/>
  <c r="W252" i="8"/>
  <c r="X252" i="8"/>
  <c r="W243" i="8"/>
  <c r="X243" i="8"/>
  <c r="W246" i="8"/>
  <c r="X246" i="8"/>
  <c r="W249" i="8"/>
  <c r="X249" i="8"/>
  <c r="W134" i="8"/>
  <c r="X134" i="8"/>
  <c r="W107" i="8"/>
  <c r="X107" i="8"/>
  <c r="W111" i="8"/>
  <c r="X111" i="8"/>
  <c r="W115" i="8"/>
  <c r="X115" i="8"/>
  <c r="W119" i="8"/>
  <c r="X119" i="8"/>
  <c r="H12" i="8"/>
  <c r="H11" i="8"/>
  <c r="H13" i="8"/>
  <c r="H9" i="8"/>
  <c r="H10" i="8"/>
  <c r="W132" i="8"/>
  <c r="X132" i="8"/>
  <c r="W140" i="8"/>
  <c r="X140" i="8"/>
  <c r="W144" i="8"/>
  <c r="X144" i="8"/>
  <c r="W241" i="8"/>
  <c r="X241" i="8"/>
  <c r="W248" i="8"/>
  <c r="X248" i="8"/>
  <c r="W251" i="8"/>
  <c r="X251" i="8"/>
  <c r="I121" i="8"/>
  <c r="H51" i="8"/>
  <c r="X109" i="8"/>
  <c r="X113" i="8"/>
  <c r="X117" i="8"/>
  <c r="H121" i="8"/>
  <c r="X129" i="8"/>
  <c r="X131" i="8"/>
  <c r="X133" i="8"/>
  <c r="X135" i="8"/>
  <c r="X137" i="8"/>
  <c r="X139" i="8"/>
  <c r="X141" i="8"/>
  <c r="X143" i="8"/>
  <c r="X145" i="8"/>
  <c r="X147" i="8"/>
  <c r="I155" i="8"/>
  <c r="I175" i="8" s="1"/>
  <c r="O256" i="8"/>
  <c r="G261" i="8"/>
  <c r="G267" i="8" s="1"/>
  <c r="I128" i="8"/>
  <c r="I148" i="8" s="1"/>
  <c r="U155" i="8"/>
  <c r="W155" i="8" s="1"/>
  <c r="U182" i="8"/>
  <c r="W182" i="8" s="1"/>
  <c r="W202" i="8" s="1"/>
  <c r="I236" i="8"/>
  <c r="I256" i="8" s="1"/>
  <c r="I210" i="8"/>
  <c r="X242" i="8"/>
  <c r="X244" i="8"/>
  <c r="X254" i="8"/>
  <c r="O338" i="7"/>
  <c r="P338" i="7" s="1"/>
  <c r="W103" i="8" l="1"/>
  <c r="V103" i="8"/>
  <c r="X105" i="8"/>
  <c r="W102" i="8"/>
  <c r="X103" i="8"/>
  <c r="V105" i="8"/>
  <c r="W104" i="8"/>
  <c r="V104" i="8"/>
  <c r="X101" i="8"/>
  <c r="W175" i="8"/>
  <c r="I229" i="8"/>
  <c r="I340" i="7"/>
  <c r="J340" i="7"/>
  <c r="I339" i="7"/>
  <c r="J339" i="7" s="1"/>
  <c r="X120" i="8"/>
  <c r="V120" i="8"/>
  <c r="W120" i="8"/>
  <c r="X236" i="8"/>
  <c r="X256" i="8" s="1"/>
  <c r="I13" i="8"/>
  <c r="K53" i="5" s="1"/>
  <c r="E53" i="5"/>
  <c r="I11" i="8"/>
  <c r="K51" i="5" s="1"/>
  <c r="E51" i="5"/>
  <c r="I10" i="8"/>
  <c r="K50" i="5" s="1"/>
  <c r="E50" i="5"/>
  <c r="I12" i="8"/>
  <c r="K52" i="5" s="1"/>
  <c r="E52" i="5"/>
  <c r="I9" i="8"/>
  <c r="K49" i="5" s="1"/>
  <c r="E49" i="5"/>
  <c r="K55" i="5"/>
  <c r="X128" i="8"/>
  <c r="X148" i="8" s="1"/>
  <c r="W148" i="8"/>
  <c r="O230" i="8"/>
  <c r="P344" i="7"/>
  <c r="M51" i="8"/>
  <c r="M60" i="8"/>
  <c r="W256" i="8"/>
  <c r="H338" i="7"/>
  <c r="W121" i="8" l="1"/>
  <c r="M121" i="8"/>
  <c r="M95" i="8" s="1"/>
  <c r="X121" i="8"/>
  <c r="M17" i="8"/>
  <c r="H7" i="8" s="1"/>
  <c r="I8" i="8"/>
  <c r="H8" i="8" s="1"/>
  <c r="K84" i="6" s="1"/>
  <c r="E48" i="5" s="1"/>
  <c r="L29" i="6"/>
  <c r="K54" i="5"/>
  <c r="I338" i="7"/>
  <c r="J338" i="7" s="1"/>
  <c r="I7" i="8" l="1"/>
  <c r="K83" i="6"/>
  <c r="E47" i="5" s="1"/>
  <c r="K48" i="5"/>
  <c r="L84" i="6"/>
  <c r="K343" i="7"/>
  <c r="K342" i="7"/>
  <c r="K341" i="7"/>
  <c r="J116" i="7"/>
  <c r="J117" i="7"/>
  <c r="J118" i="7"/>
  <c r="K118" i="7" s="1"/>
  <c r="J119" i="7"/>
  <c r="K119" i="7" s="1"/>
  <c r="J120" i="7"/>
  <c r="J121" i="7"/>
  <c r="J122" i="7"/>
  <c r="K122" i="7" s="1"/>
  <c r="J123" i="7"/>
  <c r="K123" i="7" s="1"/>
  <c r="J124" i="7"/>
  <c r="J125" i="7"/>
  <c r="J126" i="7"/>
  <c r="K126" i="7" s="1"/>
  <c r="J127" i="7"/>
  <c r="K127" i="7" s="1"/>
  <c r="J128" i="7"/>
  <c r="J129" i="7"/>
  <c r="J130" i="7"/>
  <c r="K130" i="7" s="1"/>
  <c r="J131" i="7"/>
  <c r="J132" i="7"/>
  <c r="J133" i="7"/>
  <c r="J134" i="7"/>
  <c r="K134" i="7" s="1"/>
  <c r="J135" i="7"/>
  <c r="K135" i="7" s="1"/>
  <c r="J136" i="7"/>
  <c r="J137" i="7"/>
  <c r="J138" i="7"/>
  <c r="J139" i="7"/>
  <c r="K139" i="7" s="1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I114" i="7" s="1"/>
  <c r="J114" i="7" s="1"/>
  <c r="K114" i="7" s="1"/>
  <c r="H113" i="7"/>
  <c r="H112" i="7"/>
  <c r="I112" i="7" s="1"/>
  <c r="J112" i="7" s="1"/>
  <c r="K112" i="7" s="1"/>
  <c r="H111" i="7"/>
  <c r="H11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J115" i="7" s="1"/>
  <c r="K115" i="7" s="1"/>
  <c r="I113" i="7"/>
  <c r="J113" i="7" s="1"/>
  <c r="K113" i="7" s="1"/>
  <c r="I111" i="7"/>
  <c r="J111" i="7" s="1"/>
  <c r="K111" i="7" s="1"/>
  <c r="I110" i="7"/>
  <c r="J110" i="7" s="1"/>
  <c r="I109" i="7"/>
  <c r="J109" i="7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J29" i="7"/>
  <c r="K29" i="7" s="1"/>
  <c r="J30" i="7"/>
  <c r="K30" i="7" s="1"/>
  <c r="J31" i="7"/>
  <c r="J32" i="7"/>
  <c r="J33" i="7"/>
  <c r="K33" i="7" s="1"/>
  <c r="J34" i="7"/>
  <c r="K34" i="7" s="1"/>
  <c r="J35" i="7"/>
  <c r="J36" i="7"/>
  <c r="K36" i="7" s="1"/>
  <c r="J37" i="7"/>
  <c r="K37" i="7" s="1"/>
  <c r="J38" i="7"/>
  <c r="K38" i="7" s="1"/>
  <c r="J39" i="7"/>
  <c r="J40" i="7"/>
  <c r="J41" i="7"/>
  <c r="K41" i="7" s="1"/>
  <c r="J42" i="7"/>
  <c r="K42" i="7" s="1"/>
  <c r="J43" i="7"/>
  <c r="J44" i="7"/>
  <c r="K44" i="7" s="1"/>
  <c r="J45" i="7"/>
  <c r="K45" i="7" s="1"/>
  <c r="J46" i="7"/>
  <c r="K46" i="7" s="1"/>
  <c r="J47" i="7"/>
  <c r="J48" i="7"/>
  <c r="J49" i="7"/>
  <c r="K49" i="7" s="1"/>
  <c r="J50" i="7"/>
  <c r="K50" i="7" s="1"/>
  <c r="J51" i="7"/>
  <c r="J52" i="7"/>
  <c r="K52" i="7" s="1"/>
  <c r="J53" i="7"/>
  <c r="K53" i="7" s="1"/>
  <c r="J54" i="7"/>
  <c r="J55" i="7"/>
  <c r="J56" i="7"/>
  <c r="K56" i="7" s="1"/>
  <c r="J57" i="7"/>
  <c r="K57" i="7" s="1"/>
  <c r="K272" i="7"/>
  <c r="J272" i="7" s="1"/>
  <c r="K271" i="7"/>
  <c r="J271" i="7" s="1"/>
  <c r="K270" i="7"/>
  <c r="J270" i="7" s="1"/>
  <c r="K269" i="7"/>
  <c r="J269" i="7" s="1"/>
  <c r="K137" i="7"/>
  <c r="I27" i="7"/>
  <c r="J27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J28" i="7" s="1"/>
  <c r="J418" i="7"/>
  <c r="K418" i="7" s="1"/>
  <c r="J417" i="7"/>
  <c r="K417" i="7" s="1"/>
  <c r="J416" i="7"/>
  <c r="K416" i="7" s="1"/>
  <c r="J415" i="7"/>
  <c r="J414" i="7"/>
  <c r="K414" i="7" s="1"/>
  <c r="J409" i="7"/>
  <c r="K409" i="7" s="1"/>
  <c r="J408" i="7"/>
  <c r="K408" i="7" s="1"/>
  <c r="J407" i="7"/>
  <c r="K407" i="7" s="1"/>
  <c r="J406" i="7"/>
  <c r="J405" i="7"/>
  <c r="K405" i="7" s="1"/>
  <c r="J398" i="7"/>
  <c r="J399" i="7" s="1"/>
  <c r="J389" i="7"/>
  <c r="K389" i="7" s="1"/>
  <c r="J388" i="7"/>
  <c r="K388" i="7" s="1"/>
  <c r="J387" i="7"/>
  <c r="K387" i="7" s="1"/>
  <c r="J386" i="7"/>
  <c r="J385" i="7"/>
  <c r="K385" i="7" s="1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I373" i="7"/>
  <c r="I372" i="7"/>
  <c r="J372" i="7" s="1"/>
  <c r="K372" i="7" s="1"/>
  <c r="J365" i="7"/>
  <c r="K365" i="7" s="1"/>
  <c r="J364" i="7"/>
  <c r="K364" i="7" s="1"/>
  <c r="J363" i="7"/>
  <c r="K363" i="7" s="1"/>
  <c r="J362" i="7"/>
  <c r="K362" i="7" s="1"/>
  <c r="J361" i="7"/>
  <c r="K361" i="7" s="1"/>
  <c r="I355" i="7"/>
  <c r="J355" i="7" s="1"/>
  <c r="K355" i="7" s="1"/>
  <c r="I354" i="7"/>
  <c r="J354" i="7" s="1"/>
  <c r="K354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J329" i="7"/>
  <c r="K329" i="7" s="1"/>
  <c r="J328" i="7"/>
  <c r="K322" i="7"/>
  <c r="J322" i="7" s="1"/>
  <c r="K321" i="7"/>
  <c r="K315" i="7"/>
  <c r="J315" i="7" s="1"/>
  <c r="K314" i="7"/>
  <c r="K308" i="7"/>
  <c r="J308" i="7" s="1"/>
  <c r="K307" i="7"/>
  <c r="K299" i="7"/>
  <c r="J299" i="7" s="1"/>
  <c r="J298" i="7"/>
  <c r="K291" i="7"/>
  <c r="J291" i="7" s="1"/>
  <c r="J290" i="7"/>
  <c r="K290" i="7" s="1"/>
  <c r="J289" i="7"/>
  <c r="K289" i="7" s="1"/>
  <c r="J288" i="7"/>
  <c r="K288" i="7" s="1"/>
  <c r="K281" i="7"/>
  <c r="J281" i="7" s="1"/>
  <c r="K280" i="7"/>
  <c r="J280" i="7" s="1"/>
  <c r="K279" i="7"/>
  <c r="J279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3" i="7"/>
  <c r="H246" i="7"/>
  <c r="J246" i="7" s="1"/>
  <c r="K246" i="7" s="1"/>
  <c r="H245" i="7"/>
  <c r="J245" i="7" s="1"/>
  <c r="K245" i="7" s="1"/>
  <c r="H244" i="7"/>
  <c r="J244" i="7" s="1"/>
  <c r="H237" i="7"/>
  <c r="J237" i="7" s="1"/>
  <c r="K237" i="7" s="1"/>
  <c r="H236" i="7"/>
  <c r="J236" i="7" s="1"/>
  <c r="K236" i="7" s="1"/>
  <c r="H235" i="7"/>
  <c r="J235" i="7" s="1"/>
  <c r="H228" i="7"/>
  <c r="J228" i="7" s="1"/>
  <c r="K228" i="7" s="1"/>
  <c r="H227" i="7"/>
  <c r="J227" i="7" s="1"/>
  <c r="K227" i="7" s="1"/>
  <c r="H226" i="7"/>
  <c r="J226" i="7" s="1"/>
  <c r="K226" i="7" s="1"/>
  <c r="H219" i="7"/>
  <c r="J219" i="7" s="1"/>
  <c r="K219" i="7" s="1"/>
  <c r="H218" i="7"/>
  <c r="J218" i="7" s="1"/>
  <c r="K218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J209" i="7"/>
  <c r="K209" i="7" s="1"/>
  <c r="H203" i="7"/>
  <c r="K203" i="7" s="1"/>
  <c r="H202" i="7"/>
  <c r="K202" i="7" s="1"/>
  <c r="H201" i="7"/>
  <c r="K201" i="7" s="1"/>
  <c r="K200" i="7"/>
  <c r="H200" i="7"/>
  <c r="H199" i="7"/>
  <c r="K199" i="7" s="1"/>
  <c r="H198" i="7"/>
  <c r="K198" i="7" s="1"/>
  <c r="H197" i="7"/>
  <c r="K197" i="7" s="1"/>
  <c r="H196" i="7"/>
  <c r="K196" i="7" s="1"/>
  <c r="H195" i="7"/>
  <c r="J195" i="7" s="1"/>
  <c r="H194" i="7"/>
  <c r="J194" i="7" s="1"/>
  <c r="K193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I155" i="7"/>
  <c r="J155" i="7" s="1"/>
  <c r="K155" i="7" s="1"/>
  <c r="K138" i="7"/>
  <c r="K136" i="7"/>
  <c r="K133" i="7"/>
  <c r="K132" i="7"/>
  <c r="K131" i="7"/>
  <c r="K129" i="7"/>
  <c r="K128" i="7"/>
  <c r="K125" i="7"/>
  <c r="K124" i="7"/>
  <c r="K121" i="7"/>
  <c r="K120" i="7"/>
  <c r="K117" i="7"/>
  <c r="K116" i="7"/>
  <c r="H103" i="7"/>
  <c r="H102" i="7"/>
  <c r="J102" i="7" s="1"/>
  <c r="K102" i="7" s="1"/>
  <c r="H101" i="7"/>
  <c r="I101" i="7" s="1"/>
  <c r="H100" i="7"/>
  <c r="J100" i="7" s="1"/>
  <c r="K100" i="7" s="1"/>
  <c r="H99" i="7"/>
  <c r="J99" i="7" s="1"/>
  <c r="K99" i="7" s="1"/>
  <c r="H98" i="7"/>
  <c r="J98" i="7" s="1"/>
  <c r="K98" i="7" s="1"/>
  <c r="H97" i="7"/>
  <c r="I97" i="7" s="1"/>
  <c r="H96" i="7"/>
  <c r="J96" i="7" s="1"/>
  <c r="K96" i="7" s="1"/>
  <c r="H95" i="7"/>
  <c r="J95" i="7" s="1"/>
  <c r="K95" i="7" s="1"/>
  <c r="H94" i="7"/>
  <c r="J94" i="7" s="1"/>
  <c r="K94" i="7" s="1"/>
  <c r="H93" i="7"/>
  <c r="I93" i="7" s="1"/>
  <c r="H92" i="7"/>
  <c r="J92" i="7" s="1"/>
  <c r="K92" i="7" s="1"/>
  <c r="H91" i="7"/>
  <c r="J91" i="7" s="1"/>
  <c r="K91" i="7" s="1"/>
  <c r="H90" i="7"/>
  <c r="J90" i="7" s="1"/>
  <c r="K90" i="7" s="1"/>
  <c r="H89" i="7"/>
  <c r="I89" i="7" s="1"/>
  <c r="H88" i="7"/>
  <c r="J88" i="7" s="1"/>
  <c r="K88" i="7" s="1"/>
  <c r="H87" i="7"/>
  <c r="J87" i="7" s="1"/>
  <c r="K87" i="7" s="1"/>
  <c r="H86" i="7"/>
  <c r="H85" i="7"/>
  <c r="I85" i="7" s="1"/>
  <c r="H84" i="7"/>
  <c r="J84" i="7" s="1"/>
  <c r="K84" i="7" s="1"/>
  <c r="H83" i="7"/>
  <c r="J83" i="7" s="1"/>
  <c r="K83" i="7" s="1"/>
  <c r="H82" i="7"/>
  <c r="J82" i="7" s="1"/>
  <c r="K82" i="7" s="1"/>
  <c r="H81" i="7"/>
  <c r="I81" i="7" s="1"/>
  <c r="H80" i="7"/>
  <c r="J80" i="7" s="1"/>
  <c r="K80" i="7" s="1"/>
  <c r="H79" i="7"/>
  <c r="J79" i="7" s="1"/>
  <c r="K79" i="7" s="1"/>
  <c r="H78" i="7"/>
  <c r="J78" i="7" s="1"/>
  <c r="K78" i="7" s="1"/>
  <c r="H77" i="7"/>
  <c r="I77" i="7" s="1"/>
  <c r="H76" i="7"/>
  <c r="J76" i="7" s="1"/>
  <c r="K76" i="7" s="1"/>
  <c r="H75" i="7"/>
  <c r="J75" i="7" s="1"/>
  <c r="K75" i="7" s="1"/>
  <c r="H74" i="7"/>
  <c r="I73" i="7"/>
  <c r="J73" i="7" s="1"/>
  <c r="K73" i="7" s="1"/>
  <c r="K55" i="7"/>
  <c r="K54" i="7"/>
  <c r="K51" i="7"/>
  <c r="K48" i="7"/>
  <c r="K47" i="7"/>
  <c r="K43" i="7"/>
  <c r="K40" i="7"/>
  <c r="K39" i="7"/>
  <c r="K35" i="7"/>
  <c r="K32" i="7"/>
  <c r="K31" i="7"/>
  <c r="L71" i="6"/>
  <c r="K43" i="5" s="1"/>
  <c r="L66" i="6"/>
  <c r="K40" i="5" s="1"/>
  <c r="K9" i="7"/>
  <c r="L64" i="6" s="1"/>
  <c r="K38" i="5" s="1"/>
  <c r="K7" i="7"/>
  <c r="F30" i="6"/>
  <c r="F29" i="6"/>
  <c r="F28" i="6"/>
  <c r="F27" i="6"/>
  <c r="J68" i="7" l="1"/>
  <c r="K195" i="7"/>
  <c r="I96" i="7"/>
  <c r="I99" i="7"/>
  <c r="K254" i="7"/>
  <c r="J263" i="7"/>
  <c r="J150" i="7"/>
  <c r="I80" i="7"/>
  <c r="I83" i="7"/>
  <c r="K316" i="7"/>
  <c r="J103" i="7"/>
  <c r="K103" i="7" s="1"/>
  <c r="L62" i="6"/>
  <c r="I75" i="7"/>
  <c r="I88" i="7"/>
  <c r="I91" i="7"/>
  <c r="K309" i="7"/>
  <c r="I14" i="8"/>
  <c r="L83" i="6"/>
  <c r="I84" i="7"/>
  <c r="I87" i="7"/>
  <c r="I76" i="7"/>
  <c r="I79" i="7"/>
  <c r="I92" i="7"/>
  <c r="I95" i="7"/>
  <c r="I100" i="7"/>
  <c r="I103" i="7"/>
  <c r="K323" i="7"/>
  <c r="J419" i="7"/>
  <c r="J410" i="7"/>
  <c r="J77" i="7"/>
  <c r="K77" i="7" s="1"/>
  <c r="J81" i="7"/>
  <c r="K81" i="7" s="1"/>
  <c r="J85" i="7"/>
  <c r="K85" i="7" s="1"/>
  <c r="J89" i="7"/>
  <c r="K89" i="7" s="1"/>
  <c r="J93" i="7"/>
  <c r="K93" i="7" s="1"/>
  <c r="J97" i="7"/>
  <c r="K97" i="7" s="1"/>
  <c r="J101" i="7"/>
  <c r="K101" i="7" s="1"/>
  <c r="K398" i="7"/>
  <c r="K399" i="7" s="1"/>
  <c r="K229" i="7"/>
  <c r="J300" i="7"/>
  <c r="K55" i="6" s="1"/>
  <c r="J273" i="7"/>
  <c r="K52" i="6" s="1"/>
  <c r="I74" i="7"/>
  <c r="J74" i="7" s="1"/>
  <c r="I78" i="7"/>
  <c r="I102" i="7"/>
  <c r="J380" i="7"/>
  <c r="J390" i="7"/>
  <c r="K58" i="6" s="1"/>
  <c r="I82" i="7"/>
  <c r="I86" i="7"/>
  <c r="J86" i="7" s="1"/>
  <c r="K86" i="7" s="1"/>
  <c r="I90" i="7"/>
  <c r="I94" i="7"/>
  <c r="I98" i="7"/>
  <c r="K366" i="7"/>
  <c r="K282" i="7"/>
  <c r="L53" i="6" s="1"/>
  <c r="K292" i="7"/>
  <c r="L54" i="6" s="1"/>
  <c r="J307" i="7"/>
  <c r="J309" i="7" s="1"/>
  <c r="J314" i="7"/>
  <c r="J316" i="7" s="1"/>
  <c r="J321" i="7"/>
  <c r="J323" i="7" s="1"/>
  <c r="J330" i="7"/>
  <c r="K273" i="7"/>
  <c r="L52" i="6" s="1"/>
  <c r="K339" i="7"/>
  <c r="K340" i="7"/>
  <c r="K109" i="7"/>
  <c r="K28" i="7"/>
  <c r="K68" i="7" s="1"/>
  <c r="K27" i="7"/>
  <c r="J247" i="7"/>
  <c r="K244" i="7"/>
  <c r="K247" i="7" s="1"/>
  <c r="K263" i="7"/>
  <c r="J282" i="7"/>
  <c r="K53" i="6" s="1"/>
  <c r="K110" i="7"/>
  <c r="K150" i="7" s="1"/>
  <c r="J204" i="7"/>
  <c r="K194" i="7"/>
  <c r="K356" i="7"/>
  <c r="J238" i="7"/>
  <c r="K235" i="7"/>
  <c r="K238" i="7" s="1"/>
  <c r="J220" i="7"/>
  <c r="J229" i="7"/>
  <c r="J292" i="7"/>
  <c r="K54" i="6" s="1"/>
  <c r="J156" i="7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K298" i="7"/>
  <c r="K300" i="7" s="1"/>
  <c r="L55" i="6" s="1"/>
  <c r="K328" i="7"/>
  <c r="K330" i="7" s="1"/>
  <c r="J356" i="7"/>
  <c r="J366" i="7"/>
  <c r="K373" i="7"/>
  <c r="K380" i="7" s="1"/>
  <c r="K386" i="7"/>
  <c r="K390" i="7" s="1"/>
  <c r="L58" i="6" s="1"/>
  <c r="K406" i="7"/>
  <c r="K410" i="7" s="1"/>
  <c r="K415" i="7"/>
  <c r="K419" i="7" s="1"/>
  <c r="K210" i="7"/>
  <c r="K220" i="7" s="1"/>
  <c r="J420" i="7" l="1"/>
  <c r="K59" i="6" s="1"/>
  <c r="K204" i="7"/>
  <c r="K74" i="7"/>
  <c r="K104" i="7" s="1"/>
  <c r="J104" i="7"/>
  <c r="K47" i="5"/>
  <c r="L85" i="6"/>
  <c r="K36" i="5"/>
  <c r="K56" i="6"/>
  <c r="L56" i="6"/>
  <c r="K420" i="7"/>
  <c r="L59" i="6" s="1"/>
  <c r="K338" i="7"/>
  <c r="J344" i="7"/>
  <c r="K344" i="7"/>
  <c r="L57" i="6" s="1"/>
  <c r="J186" i="7"/>
  <c r="K156" i="7"/>
  <c r="K186" i="7" s="1"/>
  <c r="K51" i="6" l="1"/>
  <c r="L51" i="6"/>
  <c r="L60" i="6" s="1"/>
  <c r="G27" i="6" s="1"/>
  <c r="H27" i="6" s="1"/>
  <c r="J15" i="7"/>
  <c r="K57" i="6"/>
  <c r="I11" i="5"/>
  <c r="I10" i="5"/>
  <c r="I9" i="5"/>
  <c r="AK13" i="2"/>
  <c r="AK9" i="2"/>
  <c r="D11" i="6"/>
  <c r="D10" i="6"/>
  <c r="J27" i="6" l="1"/>
  <c r="I27" i="6"/>
  <c r="E27" i="5"/>
  <c r="K60" i="6"/>
  <c r="K15" i="7"/>
  <c r="K18" i="7" s="1"/>
  <c r="K70" i="6"/>
  <c r="E42" i="5" s="1"/>
  <c r="I43" i="6"/>
  <c r="I40" i="6"/>
  <c r="I41" i="6"/>
  <c r="I42" i="6"/>
  <c r="I39" i="6"/>
  <c r="P39" i="6"/>
  <c r="H39" i="6" s="1"/>
  <c r="F123" i="5" s="1"/>
  <c r="P40" i="6"/>
  <c r="H40" i="6" s="1"/>
  <c r="F124" i="5" s="1"/>
  <c r="P43" i="6"/>
  <c r="H43" i="6" s="1"/>
  <c r="F127" i="5" s="1"/>
  <c r="P42" i="6"/>
  <c r="H42" i="6" s="1"/>
  <c r="F126" i="5" s="1"/>
  <c r="P41" i="6"/>
  <c r="H41" i="6" s="1"/>
  <c r="F125" i="5" s="1"/>
  <c r="L28" i="6"/>
  <c r="G29" i="6"/>
  <c r="H29" i="6" s="1"/>
  <c r="I29" i="6" s="1"/>
  <c r="G30" i="6"/>
  <c r="H30" i="6" s="1"/>
  <c r="I30" i="6" s="1"/>
  <c r="E30" i="5" l="1"/>
  <c r="J30" i="6"/>
  <c r="J29" i="6"/>
  <c r="E29" i="5"/>
  <c r="L70" i="6"/>
  <c r="L73" i="6" s="1"/>
  <c r="L27" i="6" s="1"/>
  <c r="H126" i="5"/>
  <c r="J42" i="6"/>
  <c r="H127" i="5"/>
  <c r="J43" i="6"/>
  <c r="H123" i="5"/>
  <c r="J39" i="6"/>
  <c r="H124" i="5"/>
  <c r="J40" i="6"/>
  <c r="H125" i="5"/>
  <c r="J41" i="6"/>
  <c r="B42" i="6"/>
  <c r="A126" i="5" s="1"/>
  <c r="B39" i="6"/>
  <c r="A123" i="5" s="1"/>
  <c r="B43" i="6"/>
  <c r="A127" i="5" s="1"/>
  <c r="B41" i="6"/>
  <c r="A125" i="5" s="1"/>
  <c r="B40" i="6"/>
  <c r="A124" i="5" s="1"/>
  <c r="K42" i="5" l="1"/>
  <c r="J44" i="6"/>
  <c r="I44" i="6" s="1"/>
  <c r="H128" i="5" s="1"/>
  <c r="B57" i="5"/>
  <c r="B56" i="5"/>
  <c r="B55" i="5"/>
  <c r="B43" i="5"/>
  <c r="B41" i="5"/>
  <c r="B40" i="5"/>
  <c r="B39" i="5"/>
  <c r="B38" i="5"/>
  <c r="B37" i="5"/>
  <c r="B36" i="5"/>
  <c r="I111" i="5"/>
  <c r="I110" i="5"/>
  <c r="I109" i="5"/>
  <c r="I108" i="5"/>
  <c r="I106" i="5"/>
  <c r="I105" i="5"/>
  <c r="I104" i="5"/>
  <c r="I103" i="5"/>
  <c r="I102" i="5"/>
  <c r="I100" i="5"/>
  <c r="I99" i="5"/>
  <c r="I98" i="5"/>
  <c r="I97" i="5"/>
  <c r="I96" i="5"/>
  <c r="J88" i="5"/>
  <c r="L88" i="5" s="1"/>
  <c r="L87" i="5"/>
  <c r="L86" i="5"/>
  <c r="D88" i="5"/>
  <c r="D87" i="5"/>
  <c r="D86" i="5"/>
  <c r="B88" i="5"/>
  <c r="B87" i="5"/>
  <c r="B86" i="5"/>
  <c r="D80" i="5"/>
  <c r="D74" i="5"/>
  <c r="D69" i="5"/>
  <c r="D68" i="5"/>
  <c r="D67" i="5"/>
  <c r="D65" i="5"/>
  <c r="C11" i="5"/>
  <c r="K59" i="5" s="1"/>
  <c r="AK17" i="2"/>
  <c r="L89" i="5" l="1"/>
  <c r="J56" i="5"/>
  <c r="J55" i="5"/>
  <c r="J54" i="5"/>
  <c r="J48" i="5"/>
  <c r="J47" i="5"/>
  <c r="J46" i="5"/>
  <c r="J35" i="5"/>
  <c r="I12" i="5"/>
  <c r="C12" i="5"/>
  <c r="J43" i="5"/>
  <c r="J42" i="5"/>
  <c r="J40" i="5"/>
  <c r="J38" i="5"/>
  <c r="J36" i="5"/>
  <c r="D53" i="5"/>
  <c r="D52" i="5"/>
  <c r="D51" i="5"/>
  <c r="D50" i="5"/>
  <c r="D49" i="5"/>
  <c r="K30" i="5"/>
  <c r="K29" i="5"/>
  <c r="D30" i="5"/>
  <c r="D29" i="5"/>
  <c r="D28" i="5"/>
  <c r="D27" i="5"/>
  <c r="AK15" i="2"/>
  <c r="I13" i="5" s="1"/>
  <c r="C13" i="5"/>
  <c r="AK14" i="2"/>
  <c r="AK11" i="2"/>
  <c r="C10" i="5" s="1"/>
  <c r="C9" i="5"/>
  <c r="C166" i="5" s="1"/>
  <c r="J107" i="5"/>
  <c r="L56" i="5"/>
  <c r="L55" i="5"/>
  <c r="L53" i="5"/>
  <c r="L52" i="5"/>
  <c r="L51" i="5"/>
  <c r="L50" i="5"/>
  <c r="L49" i="5"/>
  <c r="L48" i="5"/>
  <c r="L47" i="5"/>
  <c r="L43" i="5"/>
  <c r="L42" i="5"/>
  <c r="L40" i="5"/>
  <c r="L38" i="5"/>
  <c r="L36" i="5"/>
  <c r="K27" i="5"/>
  <c r="L58" i="5" l="1"/>
  <c r="K35" i="5"/>
  <c r="I166" i="5"/>
  <c r="K46" i="5"/>
  <c r="I132" i="2" l="1"/>
  <c r="I114" i="2"/>
  <c r="D106" i="5" s="1"/>
  <c r="J106" i="5" s="1"/>
  <c r="I113" i="2"/>
  <c r="D105" i="5" s="1"/>
  <c r="J105" i="5" s="1"/>
  <c r="I112" i="2"/>
  <c r="D104" i="5" s="1"/>
  <c r="J104" i="5" s="1"/>
  <c r="I111" i="2"/>
  <c r="D103" i="5" s="1"/>
  <c r="J103" i="5" s="1"/>
  <c r="I110" i="2"/>
  <c r="D102" i="5" s="1"/>
  <c r="J102" i="5" s="1"/>
  <c r="AE29" i="2" l="1"/>
  <c r="N113" i="2" s="1"/>
  <c r="D111" i="5" s="1"/>
  <c r="J111" i="5" s="1"/>
  <c r="AE28" i="2"/>
  <c r="N112" i="2" s="1"/>
  <c r="D110" i="5" s="1"/>
  <c r="J110" i="5" s="1"/>
  <c r="AE27" i="2"/>
  <c r="N111" i="2" s="1"/>
  <c r="D109" i="5" s="1"/>
  <c r="J109" i="5" s="1"/>
  <c r="AE25" i="2"/>
  <c r="N110" i="2" s="1"/>
  <c r="D108" i="5" s="1"/>
  <c r="J108" i="5" s="1"/>
  <c r="AC25" i="2"/>
  <c r="D110" i="2" s="1"/>
  <c r="D96" i="5" s="1"/>
  <c r="J96" i="5" s="1"/>
  <c r="D114" i="2"/>
  <c r="D100" i="5" s="1"/>
  <c r="J100" i="5" s="1"/>
  <c r="D113" i="2"/>
  <c r="D99" i="5" s="1"/>
  <c r="J99" i="5" s="1"/>
  <c r="D112" i="2"/>
  <c r="D98" i="5" s="1"/>
  <c r="J98" i="5" s="1"/>
  <c r="AC27" i="2"/>
  <c r="D111" i="2" s="1"/>
  <c r="D97" i="5" s="1"/>
  <c r="J97" i="5" s="1"/>
  <c r="AC14" i="2"/>
  <c r="K89" i="2" s="1"/>
  <c r="D98" i="2"/>
  <c r="A81" i="5"/>
  <c r="L73" i="2"/>
  <c r="H74" i="2"/>
  <c r="K73" i="2"/>
  <c r="AQ22" i="2"/>
  <c r="D56" i="5" s="1"/>
  <c r="AP22" i="2"/>
  <c r="D55" i="5" s="1"/>
  <c r="AO21" i="2"/>
  <c r="AN21" i="2"/>
  <c r="AM21" i="2"/>
  <c r="AL21" i="2"/>
  <c r="AK21" i="2"/>
  <c r="AJ22" i="2"/>
  <c r="D47" i="5" s="1"/>
  <c r="AI22" i="2"/>
  <c r="D43" i="5" s="1"/>
  <c r="AH22" i="2"/>
  <c r="D42" i="5" s="1"/>
  <c r="AF22" i="2"/>
  <c r="D40" i="5" s="1"/>
  <c r="AB22" i="2"/>
  <c r="F114" i="5" l="1"/>
  <c r="J114" i="5" s="1"/>
  <c r="F117" i="5"/>
  <c r="J117" i="5" s="1"/>
  <c r="F115" i="5"/>
  <c r="J115" i="5" s="1"/>
  <c r="F116" i="5"/>
  <c r="J116" i="5" s="1"/>
  <c r="AD22" i="2"/>
  <c r="D38" i="5" s="1"/>
  <c r="D36" i="5"/>
  <c r="AK22" i="2"/>
  <c r="I69" i="2"/>
  <c r="I43" i="2"/>
  <c r="F26" i="6" s="1"/>
  <c r="AI11" i="2"/>
  <c r="AI9" i="2"/>
  <c r="AH13" i="2"/>
  <c r="AH11" i="2"/>
  <c r="AH9" i="2"/>
  <c r="AG13" i="2"/>
  <c r="AG11" i="2"/>
  <c r="AG9" i="2"/>
  <c r="AF13" i="2"/>
  <c r="AF11" i="2"/>
  <c r="AF9" i="2"/>
  <c r="AI13" i="2"/>
  <c r="AD9" i="2"/>
  <c r="AC17" i="2"/>
  <c r="AC15" i="2"/>
  <c r="AC13" i="2"/>
  <c r="AC11" i="2"/>
  <c r="AD11" i="2"/>
  <c r="K83" i="2" l="1"/>
  <c r="K84" i="2"/>
  <c r="K85" i="2"/>
  <c r="I37" i="2"/>
  <c r="E26" i="6"/>
  <c r="E25" i="6"/>
  <c r="F25" i="6"/>
  <c r="F31" i="6" s="1"/>
  <c r="A100" i="2"/>
  <c r="A83" i="5" s="1"/>
  <c r="A75" i="2"/>
  <c r="A61" i="5" s="1"/>
  <c r="K82" i="2"/>
  <c r="J69" i="5"/>
  <c r="L69" i="5" s="1"/>
  <c r="J68" i="5"/>
  <c r="L68" i="5" s="1"/>
  <c r="J67" i="5"/>
  <c r="L67" i="5" s="1"/>
  <c r="J118" i="5"/>
  <c r="J119" i="5" s="1"/>
  <c r="E133" i="5" s="1"/>
  <c r="D54" i="5"/>
  <c r="K29" i="6"/>
  <c r="M29" i="6" s="1"/>
  <c r="I47" i="2"/>
  <c r="K27" i="6" s="1"/>
  <c r="M27" i="6" s="1"/>
  <c r="I61" i="2"/>
  <c r="D48" i="5"/>
  <c r="A95" i="2"/>
  <c r="A77" i="5" s="1"/>
  <c r="K98" i="2"/>
  <c r="J80" i="5" s="1"/>
  <c r="L80" i="5" s="1"/>
  <c r="L82" i="5" s="1"/>
  <c r="A86" i="2"/>
  <c r="A71" i="5" s="1"/>
  <c r="J74" i="5"/>
  <c r="L74" i="5" s="1"/>
  <c r="L76" i="5" s="1"/>
  <c r="I58" i="2"/>
  <c r="K28" i="6" s="1"/>
  <c r="M28" i="6" s="1"/>
  <c r="K78" i="2"/>
  <c r="J65" i="5" s="1"/>
  <c r="L65" i="5" s="1"/>
  <c r="AG15" i="2"/>
  <c r="A35" i="2"/>
  <c r="A23" i="5" s="1"/>
  <c r="L43" i="2"/>
  <c r="AF15" i="2"/>
  <c r="K40" i="2" s="1"/>
  <c r="T42" i="2"/>
  <c r="AF17" i="2"/>
  <c r="L32" i="2"/>
  <c r="L33" i="2"/>
  <c r="L31" i="2"/>
  <c r="K32" i="2"/>
  <c r="J20" i="5" s="1"/>
  <c r="L20" i="5" s="1"/>
  <c r="K31" i="2"/>
  <c r="J19" i="5" s="1"/>
  <c r="L19" i="5" s="1"/>
  <c r="D31" i="2"/>
  <c r="K33" i="2"/>
  <c r="J21" i="5" s="1"/>
  <c r="L21" i="5" s="1"/>
  <c r="D33" i="2"/>
  <c r="B32" i="2"/>
  <c r="B31" i="2"/>
  <c r="D32" i="2"/>
  <c r="B33" i="2"/>
  <c r="A28" i="2"/>
  <c r="A18" i="5" s="1"/>
  <c r="L4" i="4"/>
  <c r="L5" i="4"/>
  <c r="L6" i="4"/>
  <c r="L7" i="4"/>
  <c r="L8" i="4"/>
  <c r="L9" i="4"/>
  <c r="L10" i="4"/>
  <c r="L11" i="4"/>
  <c r="L12" i="4"/>
  <c r="L13" i="4"/>
  <c r="L3" i="4"/>
  <c r="K4" i="4"/>
  <c r="K5" i="4"/>
  <c r="K6" i="4"/>
  <c r="K7" i="4"/>
  <c r="K8" i="4"/>
  <c r="K9" i="4"/>
  <c r="K10" i="4"/>
  <c r="K11" i="4"/>
  <c r="K12" i="4"/>
  <c r="K13" i="4"/>
  <c r="K3" i="4"/>
  <c r="K41" i="2" l="1"/>
  <c r="J29" i="5" s="1"/>
  <c r="L29" i="5" s="1"/>
  <c r="K42" i="2"/>
  <c r="J30" i="5" s="1"/>
  <c r="L30" i="5" s="1"/>
  <c r="K74" i="2"/>
  <c r="L59" i="5" s="1"/>
  <c r="T45" i="2"/>
  <c r="K37" i="2"/>
  <c r="K39" i="2"/>
  <c r="J27" i="5" s="1"/>
  <c r="L27" i="5" s="1"/>
  <c r="L70" i="5"/>
  <c r="D35" i="5"/>
  <c r="I73" i="2"/>
  <c r="D46" i="5"/>
  <c r="L22" i="5"/>
  <c r="Q40" i="2"/>
  <c r="J28" i="5"/>
  <c r="Q41" i="2"/>
  <c r="A33" i="2"/>
  <c r="A21" i="5" s="1"/>
  <c r="B21" i="5"/>
  <c r="A32" i="2"/>
  <c r="A20" i="5" s="1"/>
  <c r="B20" i="5"/>
  <c r="A31" i="2"/>
  <c r="A19" i="5" s="1"/>
  <c r="B19" i="5"/>
  <c r="B44" i="2"/>
  <c r="B32" i="5" s="1"/>
  <c r="I74" i="2"/>
  <c r="B36" i="2"/>
  <c r="B24" i="5" s="1"/>
  <c r="K34" i="2"/>
  <c r="I32" i="2"/>
  <c r="D20" i="5" s="1"/>
  <c r="I33" i="2"/>
  <c r="D21" i="5" s="1"/>
  <c r="I31" i="2"/>
  <c r="D19" i="5" s="1"/>
  <c r="K43" i="2" l="1"/>
  <c r="Q39" i="2"/>
  <c r="Q42" i="2"/>
  <c r="H25" i="6"/>
  <c r="I25" i="6" s="1"/>
  <c r="G25" i="6"/>
  <c r="K26" i="6"/>
  <c r="L26" i="6" l="1"/>
  <c r="M26" i="6" s="1"/>
  <c r="J25" i="6"/>
  <c r="L80" i="6"/>
  <c r="H81" i="8"/>
  <c r="K79" i="6" s="1"/>
  <c r="K80" i="6"/>
  <c r="I81" i="8"/>
  <c r="L79" i="6" s="1"/>
  <c r="K81" i="6" l="1"/>
  <c r="L81" i="6"/>
  <c r="G28" i="6" s="1"/>
  <c r="H28" i="6" s="1"/>
  <c r="I28" i="6" s="1"/>
  <c r="J28" i="6" l="1"/>
  <c r="E28" i="5"/>
  <c r="K28" i="5" s="1"/>
  <c r="L28" i="5" s="1"/>
  <c r="L31" i="5" s="1"/>
  <c r="L60" i="5" s="1"/>
  <c r="L90" i="5" s="1"/>
  <c r="E132" i="5" s="1"/>
  <c r="E134" i="5" s="1"/>
  <c r="H26" i="6"/>
  <c r="G26" i="6"/>
  <c r="G31" i="6" s="1"/>
  <c r="J26" i="6" l="1"/>
  <c r="I26" i="6"/>
  <c r="H31" i="6"/>
  <c r="I31" i="6" s="1"/>
</calcChain>
</file>

<file path=xl/sharedStrings.xml><?xml version="1.0" encoding="utf-8"?>
<sst xmlns="http://schemas.openxmlformats.org/spreadsheetml/2006/main" count="3736" uniqueCount="1328">
  <si>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</si>
  <si>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</si>
  <si>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</si>
  <si>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</si>
  <si>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</si>
  <si>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</si>
  <si>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</si>
  <si>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</si>
  <si>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</si>
  <si>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</si>
  <si>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</si>
  <si>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ภาระงานเชิงคุณภาพ 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</si>
  <si>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</si>
  <si>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2. องค์ประกอบและสัดส่วนของการประเมินจากผลสัมฤทธิ์ของงาน</t>
  </si>
  <si>
    <t>ภาระงาน</t>
  </si>
  <si>
    <t>น้ำหนักภาระงาน (ร้อยละ)</t>
  </si>
  <si>
    <t>บริหารระดับต้น</t>
  </si>
  <si>
    <t>บริหารวิสาหกิจ</t>
  </si>
  <si>
    <t>บริหารระดับอื่น</t>
  </si>
  <si>
    <t>บริหารหลักสูตร</t>
  </si>
  <si>
    <t>วิชาการทั่วไป</t>
  </si>
  <si>
    <t>ผู้ช่วยอธิการบดี</t>
  </si>
  <si>
    <t>รองคณบดี/ รอง ผอ.สำนัก</t>
  </si>
  <si>
    <t>ผอ.วิสาหกิจ</t>
  </si>
  <si>
    <t>รอง ผอ.วิสาหกิจ</t>
  </si>
  <si>
    <t>ผู้ช่วยคณบดี</t>
  </si>
  <si>
    <t>ผอ.วิสาหกิจภายใต้การกำกับของคณะ</t>
  </si>
  <si>
    <t>ประธานหลักสูตร</t>
  </si>
  <si>
    <t>เลขานุการหลักสูตร</t>
  </si>
  <si>
    <t>กรรมการหลักสูตร</t>
  </si>
  <si>
    <t>ด้านผลสัมฤทธิ์ของงาน (80%)</t>
  </si>
  <si>
    <t>ภาระงานบริหาร (ชั่วโมงทำการ/สัปดาห์)</t>
  </si>
  <si>
    <t>-</t>
  </si>
  <si>
    <t>ภาระงานบริหาร</t>
  </si>
  <si>
    <t>1. ภาระงานบริหาร (ร้อยละ)</t>
  </si>
  <si>
    <t xml:space="preserve">   1.1 การบริหารงานตามแผนยุทธศาสตร์ของ</t>
  </si>
  <si>
    <t>(35)</t>
  </si>
  <si>
    <t>(15)</t>
  </si>
  <si>
    <t xml:space="preserve">       มหาวิทยาลัย</t>
  </si>
  <si>
    <t>(10)</t>
  </si>
  <si>
    <t xml:space="preserve">   1.3 การดำเนินงานวิสาหกิจตามนโยบายของ</t>
  </si>
  <si>
    <t xml:space="preserve">       สภามหาวิทยาลัย</t>
  </si>
  <si>
    <t xml:space="preserve">   1.4 การบริหารงานตามแผนงานและตาม</t>
  </si>
  <si>
    <t>(20)</t>
  </si>
  <si>
    <t xml:space="preserve">       ตำแหน่งที่ได้รับการแต่งตั้ง โดยพิจารณา</t>
  </si>
  <si>
    <t xml:space="preserve">       จากผลงานที่แสดงถึงการป้องกันปัญหา</t>
  </si>
  <si>
    <t xml:space="preserve">       การแก้ไขปัญหาและการพัฒนางาน</t>
  </si>
  <si>
    <t>(5)</t>
  </si>
  <si>
    <t xml:space="preserve">       หลักธรรมาภิบาล</t>
  </si>
  <si>
    <t>ภาระงานตามพันธกิจ</t>
  </si>
  <si>
    <t>ภาระงานตามพันธกิจ (ชั่วโมงทำการ/สัปดาห์)</t>
  </si>
  <si>
    <t>15</t>
  </si>
  <si>
    <t>20</t>
  </si>
  <si>
    <t>25</t>
  </si>
  <si>
    <t>27.5</t>
  </si>
  <si>
    <t>35</t>
  </si>
  <si>
    <t>2. ภาระงานตามพันธกิจหลัก (ร้อยละ)</t>
  </si>
  <si>
    <t>30</t>
  </si>
  <si>
    <t>40</t>
  </si>
  <si>
    <t>50</t>
  </si>
  <si>
    <t xml:space="preserve">    2.1 เชิงปริมาณ</t>
  </si>
  <si>
    <t>(17.5)</t>
  </si>
  <si>
    <t>(25)</t>
  </si>
  <si>
    <t xml:space="preserve">         (1) ภาระงานสอน</t>
  </si>
  <si>
    <t>(เลือก)</t>
  </si>
  <si>
    <t>ตาม</t>
  </si>
  <si>
    <t xml:space="preserve">         (2) ภาระงานวิจัยและงานวิชาการอื่น</t>
  </si>
  <si>
    <t>มาตรฐาน</t>
  </si>
  <si>
    <t xml:space="preserve">         (3) ภาระงานบริการวิชาการ</t>
  </si>
  <si>
    <t xml:space="preserve">         (4) ภาระงานทำนุบำรุงศิลปวัฒนธรรม</t>
  </si>
  <si>
    <t>ขั้นต่ำ</t>
  </si>
  <si>
    <t xml:space="preserve">    2.2 เชิงคุณภาพ</t>
  </si>
  <si>
    <t xml:space="preserve">3. ภาระงานระดับหลักสูตร คณะ </t>
  </si>
  <si>
    <t>10</t>
  </si>
  <si>
    <t xml:space="preserve">    และมหาวิทยาลัยที่ได้รับมอบหมาย (ร้อยละ)</t>
  </si>
  <si>
    <t xml:space="preserve">    3.1 ภาระงานระดับหลักสูตร</t>
  </si>
  <si>
    <t xml:space="preserve">    3.2 ภาระงานระดับคณะ/มหาวิทยาลัย</t>
  </si>
  <si>
    <t>4. ผลการประเมินการพัฒนาตนเอง (ร้อยละ)</t>
  </si>
  <si>
    <t>5</t>
  </si>
  <si>
    <t>5. ผลการประเมินการประกันคุณภาพ (ร้อยละ)</t>
  </si>
  <si>
    <t xml:space="preserve">   5.1 ของมหาวิทยาลัย</t>
  </si>
  <si>
    <t xml:space="preserve">   5.2 ของคณะ</t>
  </si>
  <si>
    <t xml:space="preserve">   5.3 ของหลักสูตร</t>
  </si>
  <si>
    <t xml:space="preserve">   6.1 การสร้างอัตลักษณ์บัณฑิต</t>
  </si>
  <si>
    <t xml:space="preserve">   6.2 การมุ่งสู่ความเป็นนานาชาติ</t>
  </si>
  <si>
    <t xml:space="preserve">   6.3 การมุ่งสู่ความเป็นมหาวิทยาลัยอินทรีย์</t>
  </si>
  <si>
    <t xml:space="preserve">        มหาวิทยาลัยสีเขียว มหาวิทยาลัยเชิงนิเวศ</t>
  </si>
  <si>
    <t>ด้านพฤติกรรมการปฏิบัติราชการ (20%)</t>
  </si>
  <si>
    <t>ด้านพฤติกรรมการปฏิบัติราชการ (ร้อยละ)</t>
  </si>
  <si>
    <t xml:space="preserve">   สมรรถนะหลัก</t>
  </si>
  <si>
    <t>ü</t>
  </si>
  <si>
    <t xml:space="preserve">   สมรรถนะผู้บริหาร</t>
  </si>
  <si>
    <t xml:space="preserve">   สมรรถนะประจำกลุ่มงาน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</si>
  <si>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</si>
  <si>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>ภาระงานเชิงปริมาณ โดยแบ่งออกเป็น 4 ส่วน กล่าวคือ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</si>
  <si>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</si>
  <si>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r>
      <t xml:space="preserve">บริหารระดับสูง </t>
    </r>
    <r>
      <rPr>
        <b/>
        <sz val="12"/>
        <color rgb="FFFF0000"/>
        <rFont val="TH Niramit AS"/>
      </rPr>
      <t>*</t>
    </r>
  </si>
  <si>
    <t>รองอธิการบดี
(เลือก)</t>
  </si>
  <si>
    <t xml:space="preserve">   1.2 การสนับสนุนงานของหน่วยงานให้สอดคล้อง</t>
  </si>
  <si>
    <t xml:space="preserve">       กับยุทธศาสตร์ของมหาวิทยาลัย</t>
  </si>
  <si>
    <t xml:space="preserve">   1.5 ระดับความสำเร็จในการบริหารงานหลักสูตร</t>
  </si>
  <si>
    <r>
      <t xml:space="preserve">6. ภาระงานเชิงยุทธศาสตร์ของหน่วยงาน/
    มหาวิทยาลัย (ร้อยละ) </t>
    </r>
    <r>
      <rPr>
        <b/>
        <sz val="13"/>
        <color rgb="FFFF0000"/>
        <rFont val="TH Niramit AS"/>
      </rPr>
      <t>**</t>
    </r>
  </si>
  <si>
    <r>
      <t xml:space="preserve">* หมายเหตุ </t>
    </r>
    <r>
      <rPr>
        <sz val="13"/>
        <rFont val="TH Niramit AS"/>
      </rPr>
      <t xml:space="preserve"> 1) สำหรับผู้ดำรงตำแหน่งบริหารระดับสูง (รองอธิการบดี คณบดี หรือผู้อำนวยการหน่ยงานที่เทียบเท่าคณะ) สามารถเลือกปฏิบัติเฉพาะภาระงานบริหารทั้งหมด 35 ชั่วโมงทำการ/สัปดาห์ หรือ</t>
    </r>
  </si>
  <si>
    <r>
      <t xml:space="preserve">                 </t>
    </r>
    <r>
      <rPr>
        <sz val="13"/>
        <rFont val="TH Niramit AS"/>
      </rPr>
      <t>เลือกปฏิบัติภาระงานบริหาร 25 ชั่วโมงทำการ/สัปดาห์ และปฏิบัติภาระงานตามพันธกิจอีก 10 ชั่วโมงทำการ/สัปดาห์ (รวม 35 ชั่วโมงทำการ/สัปดาห์) ได้</t>
    </r>
  </si>
  <si>
    <r>
      <t xml:space="preserve">                 </t>
    </r>
    <r>
      <rPr>
        <sz val="13"/>
        <rFont val="TH Niramit AS"/>
      </rPr>
      <t>2) ในส่วนหัวข้อภาระงานเชิงยุทธศาสตร์ของหน่วยงาน/มหาวิทยาลัย หากบุคลากรสายวิชการที่ประสงค์จะใช้ค่าน้ำหนักดังกล่าวเท่ากับร้อยละ 20 (โดยลดภาระงานเชิงพันธกิจลดลงร้อยละ 10) ทั้งนี้</t>
    </r>
  </si>
  <si>
    <r>
      <t xml:space="preserve">                 </t>
    </r>
    <r>
      <rPr>
        <sz val="13"/>
        <rFont val="TH Niramit AS"/>
      </rPr>
      <t>ให้เป็นความตกลงร่วมกับผู้บังคับบัญชาของหน่วยงาน และให้ดำเนินการแจ้งรายชื่อบุคลากรกลุ่มดังกล่าวมายังมหาวิทยาลัยเพื่อรับทราบด้วย</t>
    </r>
  </si>
  <si>
    <t>คณบดี/ผอ.สำนัก
(เลือก)</t>
  </si>
  <si>
    <r>
      <t xml:space="preserve">      </t>
    </r>
    <r>
      <rPr>
        <b/>
        <sz val="14"/>
        <rFont val="TH Niramit AS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Niramit AS"/>
      </rPr>
      <t xml:space="preserve"> </t>
    </r>
    <r>
      <rPr>
        <b/>
        <u/>
        <sz val="14"/>
        <color rgb="FFFF0000"/>
        <rFont val="TH Niramit AS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ต้องมีค่าเฉลี่ยภาระงานเชิงปริมาณไม่น้อยกว่าภาระงานขั้นต่ำมหาวิทยาลัยที่กำหนด</t>
    </r>
  </si>
  <si>
    <t>1.2</t>
  </si>
  <si>
    <t>แบบ ป.วช-01</t>
  </si>
  <si>
    <t>แบบข้อตกลงภาระงานและพฤติกรรมการปฏิบัติราชการ (Term of Reference :TOR)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</si>
  <si>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</si>
  <si>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</si>
  <si>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</si>
  <si>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</si>
  <si>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</si>
  <si>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</si>
  <si>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</si>
  <si>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</si>
  <si>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</si>
  <si>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</si>
  <si>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</si>
  <si>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</si>
  <si>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</si>
  <si>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</si>
  <si>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</si>
  <si>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</si>
  <si>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1 ตุลาคม 2560</t>
  </si>
  <si>
    <t>ถึงวันที่</t>
  </si>
  <si>
    <t>30 กันยายน 2561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</si>
  <si>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</si>
  <si>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</si>
  <si>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</si>
  <si>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</si>
  <si>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ที่บังคับใช้สำหรับการประเมินผลการปฏิบัติราชการ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</si>
  <si>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</si>
  <si>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</si>
  <si>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</si>
  <si>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</si>
  <si>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</si>
  <si>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</si>
  <si>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</si>
  <si>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</si>
  <si>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</si>
  <si>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</si>
  <si>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</si>
  <si>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</si>
  <si>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</si>
  <si>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</si>
  <si>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</si>
  <si>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</si>
  <si>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</si>
  <si>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</si>
  <si>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 xml:space="preserve">1. กรอกค่าเป้าหมายจำนวนชั่วโมงทำการที่คาดว่าสามารถทำได้สูงสุด
</t>
  </si>
  <si>
    <t>2)</t>
  </si>
  <si>
    <t>ภาระงานวิจัยและงานวิชาการอื่น</t>
  </si>
  <si>
    <r>
      <t>ต่อสัปดาห์ ในช่องกรอบสีน้ำเงิน (ค)</t>
    </r>
    <r>
      <rPr>
        <sz val="14"/>
        <color rgb="FFFF0000"/>
        <rFont val="TH Niramit AS"/>
      </rPr>
      <t xml:space="preserve"> (สามารถกรอกเป็นตัวเลขจุดทศนิยมได้)</t>
    </r>
  </si>
  <si>
    <t>3)</t>
  </si>
  <si>
    <t>ภาระงานบริการทางวิชาการ</t>
  </si>
  <si>
    <t>2. ผลรวมค่าเป้าหมายจำนวนชั่วโมงทำการ/สัปดาห์ ในช่องกรอบสีแดง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</si>
  <si>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</si>
  <si>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</si>
  <si>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</si>
  <si>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3. โปรแกรมจะคำนวณค่าน้ำหนักของภาระงาน ในช่องกรอบสีชมพู (ง)</t>
  </si>
  <si>
    <t>2.2</t>
  </si>
  <si>
    <r>
      <t xml:space="preserve">    อัตโนมัติตามค่าเป้าหมายที่กำหนดในช่องกรอบสีน้ำเงิน (ค) </t>
    </r>
    <r>
      <rPr>
        <sz val="14"/>
        <color rgb="FFFF0000"/>
        <rFont val="TH Niramit AS"/>
      </rPr>
      <t>โดยค่าผลรวม</t>
    </r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</si>
  <si>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</si>
  <si>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</si>
  <si>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</si>
  <si>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</si>
  <si>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</si>
  <si>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</si>
  <si>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Niramit AS"/>
      </rPr>
      <t>และ</t>
    </r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</si>
  <si>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</si>
  <si>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</si>
  <si>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</si>
  <si>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</si>
  <si>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</si>
  <si>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Niramit AS"/>
      </rPr>
      <t>และ/หรือ</t>
    </r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</si>
  <si>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</si>
  <si>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</si>
  <si>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</si>
  <si>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</si>
  <si>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</si>
  <si>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</si>
  <si>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r>
      <rPr>
        <b/>
        <u/>
        <sz val="8"/>
        <color rgb="FF0000CC"/>
        <rFont val="TH Niramit AS"/>
      </rPr>
      <t xml:space="preserve">
</t>
    </r>
    <r>
      <rPr>
        <b/>
        <u/>
        <sz val="14"/>
        <color rgb="FF0000CC"/>
        <rFont val="TH Niramit AS"/>
      </rPr>
      <t/>
    </r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</si>
  <si>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</si>
  <si>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</si>
  <si>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</si>
  <si>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</si>
  <si>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</si>
  <si>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</si>
  <si>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</si>
  <si>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</si>
  <si>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</si>
  <si>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</si>
  <si>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</si>
  <si>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</si>
  <si>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</si>
  <si>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</si>
  <si>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</si>
  <si>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</si>
  <si>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</si>
  <si>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</si>
  <si>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</si>
  <si>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</si>
  <si>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Niramit AS"/>
      </rPr>
      <t>หรือ</t>
    </r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</si>
  <si>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</si>
  <si>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</si>
  <si>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รวมน้ำหนักภาระงานตามพันธกิจ เชิงคุณภาพ (ร้อยละ)</t>
  </si>
  <si>
    <t>ภาระงานระดับหลักสูตร</t>
  </si>
  <si>
    <t>*ให้หน่วยงานเป็นผู้กำหนดภาระงานและวิธีการประเมิน*</t>
  </si>
  <si>
    <t>ภาระงานระดับคณะ/มหาวิทยาลัย</t>
  </si>
  <si>
    <t>2.1 การปฏิบัติหน้าที่ตามคำสั่งของคณะ/มหาวิทยาลัย</t>
  </si>
  <si>
    <t>2.2 การจัดทำโครงการที่เกี่ยวข้องกับสมรรถนะ ตามที่คณะ/มหาวิทยาลัย กำหนด</t>
  </si>
  <si>
    <t>2.3 ภาระงานอื่น ๆ ที่ได้รับมอบหมาย</t>
  </si>
  <si>
    <t>(ง) ค่าเป้าหมาย</t>
  </si>
  <si>
    <t>(ค) น้ำหนัก
(ร้อยละ)</t>
  </si>
  <si>
    <t>ระดับความสำเร็จในการพัฒนาตนเองด้านความรู้ ทักษะและพฤติกรรม (Competency) ในวิชาชีพทั้งในและต่างประเทศ</t>
  </si>
  <si>
    <t>1. มีแผนการพัฒนาตนเองในการทำงาน (IDP)</t>
  </si>
  <si>
    <t>1 ข้อแรก</t>
  </si>
  <si>
    <t>2 ข้อแรก</t>
  </si>
  <si>
    <t>3 ข้อแรก</t>
  </si>
  <si>
    <t>4 ข้อแรก</t>
  </si>
  <si>
    <t>5 ข้อ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</si>
  <si>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</si>
  <si>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มีการรายงานสรุปของการเข้าอบรม สัมมนาในแต่ละครั้งเป็นเอกสาร</t>
  </si>
  <si>
    <t>4.มีการเผยแพร่ในรูปแบบสื่อต่างๆ ดังนี้ เว็บไซต์ KM  (www.km.mju.ac.th) หรือ เว็บไซต์/สื่อประชาสัมพันธ์ของหน่วยงานในมหาวิทยาลัย เพื่อให้เกิดการแลกเปลี่ยนเรียนรู้ภายในองค์กร</t>
  </si>
  <si>
    <t>ผลการประเมินการประกันคุณภาพระดับ</t>
  </si>
  <si>
    <t>6.3 การมุ่งสู่ความเป็นมหาวิทยาลัยอินทรีย์ มหาวิทยาลัยสีเขียว มหาวิทยาลัยเชิงนิเวศ</t>
  </si>
  <si>
    <t>ส่วนที่ 3 ข้อตกลงด้านพฤติกรรมการปฏิบัติราชการ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</si>
  <si>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</si>
  <si>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</si>
  <si>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</si>
  <si>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</si>
  <si>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</si>
  <si>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</si>
  <si>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</si>
  <si>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</si>
  <si>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</si>
  <si>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</si>
  <si>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</si>
  <si>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</si>
  <si>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</si>
  <si>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</si>
  <si>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</si>
  <si>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</si>
  <si>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</si>
  <si>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</si>
  <si>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</si>
  <si>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</si>
  <si>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</si>
  <si>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</si>
  <si>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</si>
  <si>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</si>
  <si>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ส่วนที่ 4 แผนพัฒนาเฉพาะบุคคล (Individual Development Plan : IDP)</t>
  </si>
  <si>
    <t>(ก) สมรรถนะที่ต้องการพัฒนา</t>
  </si>
  <si>
    <t>(ข) วิธีการพัฒนา</t>
  </si>
  <si>
    <t>(ค) ช่วงเวลาที่ต้องการพัฒนา</t>
  </si>
  <si>
    <t>(ง) ความคิดเห็นเพิ่มเติมของผู้บังคับบัญชา</t>
  </si>
  <si>
    <t>(ถ้ามี)</t>
  </si>
  <si>
    <t>ส่วนที่ 5 การลงลายมือชื่อรับทราบข้อตกลงภาระงานและพฤติกรรมการปฏิบัติราชการ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</si>
  <si>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</si>
  <si>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</si>
  <si>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</si>
  <si>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 xml:space="preserve">       ……………………………………………………………………………………………………………………………………………………………………………………………………</t>
  </si>
  <si>
    <t xml:space="preserve">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</si>
  <si>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และศาสตราจารย์ พ.ศ. 2560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</si>
  <si>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</si>
  <si>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</si>
  <si>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</si>
  <si>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</si>
  <si>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</si>
  <si>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</si>
  <si>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</si>
  <si>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</si>
  <si>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</si>
  <si>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</si>
  <si>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</si>
  <si>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</si>
  <si>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</si>
  <si>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</si>
  <si>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</si>
  <si>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</si>
  <si>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</si>
  <si>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</si>
  <si>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</si>
  <si>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</si>
  <si>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</si>
  <si>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</si>
  <si>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</si>
  <si>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</si>
  <si>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</si>
  <si>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</si>
  <si>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</si>
  <si>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</si>
  <si>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</si>
  <si>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</si>
  <si>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</si>
  <si>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</si>
  <si>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</si>
  <si>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</si>
  <si>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</si>
  <si>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</si>
  <si>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</si>
  <si>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</si>
  <si>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</si>
  <si>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</si>
  <si>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</si>
  <si>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</si>
  <si>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</si>
  <si>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</si>
  <si>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</si>
  <si>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</si>
  <si>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</si>
  <si>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</si>
  <si>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</si>
  <si>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</si>
  <si>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</si>
  <si>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</si>
  <si>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</si>
  <si>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</si>
  <si>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</si>
  <si>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</si>
  <si>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</si>
  <si>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</si>
  <si>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</si>
  <si>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</si>
  <si>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</si>
  <si>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</si>
  <si>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</si>
  <si>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</si>
  <si>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</si>
  <si>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</si>
  <si>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</si>
  <si>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</si>
  <si>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</si>
  <si>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</si>
  <si>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</si>
  <si>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</si>
  <si>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</si>
  <si>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</si>
  <si>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</si>
  <si>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</si>
  <si>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</si>
  <si>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</si>
  <si>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</si>
  <si>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</si>
  <si>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</si>
  <si>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</si>
  <si>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ข้อ 1</t>
  </si>
  <si>
    <t>ตัวชี้วัด</t>
  </si>
  <si>
    <t>การบริหารงานตามแผนยุทธศาสตร์ของมหาวิทยาลัย</t>
  </si>
  <si>
    <t>ระดับความสำเร็จในการบริหารงานตามแผนยุทธศาสตร์ของมหาวิทยาลัย</t>
  </si>
  <si>
    <t>การบริหารงานตามแผนงานและตามตำแหน่งที่ได้รับการแต่งตั้งโดยพิจารณาจากผลงานที่แสดงถึงการป้องกันปัญหา การแก้ไขปัญหาและการพัฒนางาน</t>
  </si>
  <si>
    <t>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</t>
  </si>
  <si>
    <t>ข้อ 2</t>
  </si>
  <si>
    <t>การบริหารงานและการจัดการตามหลักธรรมาภิบาล</t>
  </si>
  <si>
    <t>ความสามารถในการบริหารและการจัดการตามหลักธรรมาภิบาล</t>
  </si>
  <si>
    <t>ข้อ 3</t>
  </si>
  <si>
    <t>การดำเนินงานวิสาหกิจตามนโยบายของสภามหาวิทยาลัย</t>
  </si>
  <si>
    <t>ระดับความสำเร็จในการดำเนินงานวิสาหกิจตามนโยบายของสภามหาวิทยาลัย</t>
  </si>
  <si>
    <t>การสนับสนุนงานของหน่วยงานให้สอดคล้องกับยุทธศาสตร์ของมหาวิทยาลัย</t>
  </si>
  <si>
    <t>ระดับความสำเร็จของการสนับสนุนงานของหน่วยงานให้สอดคล้องกับยุทธศาสตร์ของมหาวิทยาลัย</t>
  </si>
  <si>
    <t>ระดับความสำเร็จในการบริหารงานตามแผนงานตามตำแหน่งที่ได้รับแต่งตั้ง  โดยผู้บังคับบัญชาประเมินตามผลงาน</t>
  </si>
  <si>
    <t>การบริหารงานหลักสูตร</t>
  </si>
  <si>
    <t>ระดับความสำเร็จในการบริหารงานหลักสูตร</t>
  </si>
  <si>
    <t>อื่นๆ</t>
  </si>
  <si>
    <t>ข้อบริหาร</t>
  </si>
  <si>
    <t>เกณฑ์</t>
  </si>
  <si>
    <t>ใช้ค่าคะแนนจากกองแผนงาน</t>
  </si>
  <si>
    <t>คะแนน 1-5 (ประธานบอร์ดรับรองคะแนน)</t>
  </si>
  <si>
    <t>คะแนน 1-5 (ผอ.หน่วยงานวิสาหกิจรับรองคะแนน)</t>
  </si>
  <si>
    <t>ประเมิน 3 ด้าน : 1) การป้องกันปัญหา  2) การแก้ไขปัญหา  3) การพัฒนางาน</t>
  </si>
  <si>
    <t>ใช้ค่าคะแนนซึ่งประเมินจากผู้บังคับบัญชา (ตามแบบฟอร์มมหาวิทยาลัย)</t>
  </si>
  <si>
    <t>คะแนน 1-5 (ประเมินจากผู้บังคับบัญชา)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</si>
  <si>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</si>
  <si>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</si>
  <si>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</si>
  <si>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</si>
  <si>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</si>
  <si>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</si>
  <si>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</si>
  <si>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r>
      <t xml:space="preserve">มีการผลิตสื่อการสอน เช่น เอกสารประกอบ การสอน เอกสารคำสอน ตำรา หนังสือ ฯลฯ
</t>
    </r>
    <r>
      <rPr>
        <sz val="13"/>
        <color rgb="FFFF0000"/>
        <rFont val="TH Niramit AS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</si>
  <si>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คิดภาระงานได้เป็น 5 ระดับ (นับคะแนนตามจำนวนชิ้นงาน</t>
  </si>
  <si>
    <t>5. นำความรู้ที่ได้มาปรับปรุง หรือพัฒนาให้เกิดนวัตกรรมในงานของ</t>
  </si>
  <si>
    <t>ตัวเอง (เช่น Flowchart ของกระบวนงานใหม่ งานวิจัยใหม่ เป็นต้น)</t>
  </si>
  <si>
    <t>(ใช้ค่าคะแนนเดียวกับผลการประเมิน : ทศนิยม 2 ตำแหน่ง)</t>
  </si>
  <si>
    <t>Core Competency</t>
  </si>
  <si>
    <t>Managerial Competency</t>
  </si>
  <si>
    <t>หมายเหตุ  -  วิธีการพัฒนาสมรรถนะ :   A = เรียนรู้จากการปฏิบัติ (Action learning)   C  = การสอนงาน (Coaching)   OJT = การปฏิบัติในงาน (On the job training)   P  = มอบหมายงาน (Project Assignment)  
E = พบผู้เชี่ยวชาญ (Expert Briefing)    F =  ศึกษาดูงาน (Field Trip)       S = ศึกษาด้วยตนเอง (Self  Study)       T  = ฝึกอบรมประชุมปฏิบัติการ (Training)       J  = แลกเปลี่ยนงาน (Job  Swap)    
M = พี่เลี้ยง (Mentoring)    OTH = อื่นๆ (Other)……..ระบุ.......</t>
  </si>
  <si>
    <t>แบบ ป.วช-02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</si>
  <si>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</si>
  <si>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</si>
  <si>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</si>
  <si>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</si>
  <si>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</si>
  <si>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</si>
  <si>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</si>
  <si>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</si>
  <si>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</si>
  <si>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</si>
  <si>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</si>
  <si>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</si>
  <si>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</si>
  <si>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</si>
  <si>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</si>
  <si>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</si>
  <si>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</si>
  <si>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</si>
  <si>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</si>
  <si>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</si>
  <si>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</si>
  <si>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</si>
  <si>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</si>
  <si>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</si>
  <si>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</si>
  <si>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</si>
  <si>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</si>
  <si>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</si>
  <si>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</si>
  <si>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</si>
  <si>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</si>
  <si>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</si>
  <si>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(ซ) สรุปคะแนนด้านภาระงานตามพันธกิจ เชิงคุณภาพ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</si>
  <si>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</si>
  <si>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</si>
  <si>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ภาระงานระดับคณะ/หลักสูตร</t>
  </si>
  <si>
    <t>ภาระงานระดับมหาวิทยาลัย</t>
  </si>
  <si>
    <t>(3) สรุปคะแนนด้านภาระงานอื่นๆ ที่ได้รับมอบหมาย = ผลคะแนนรวมของ(คะแนน x น้ำหนัก) / 5</t>
  </si>
  <si>
    <t>(4) สรุปคะแนนด้านการประเมินการพัฒนาตนเอง = ผลคะแนนรวมของ(คะแนน x น้ำหนัก) / 5</t>
  </si>
  <si>
    <t>ได้รับคะแนนการประเมินฯ เท่ากับ</t>
  </si>
  <si>
    <t>(5) สรุปคะแนนด้านผลการประเมินการประกันคุณภาพหน่วยงาน= ผลคะแนนรวมของ(คะแนน x น้ำหนัก)/5</t>
  </si>
  <si>
    <t>(ช) คะแนนรวม</t>
  </si>
  <si>
    <t>(จ) x (ฉ)</t>
  </si>
  <si>
    <t>(ซ) สรุปคะแนนส่วนผลสัมฤทธิ์ของงาน =ผลรวมของ (1)+(2)+(3)+(4)+(5)+(6)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</si>
  <si>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</si>
  <si>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</si>
  <si>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</si>
  <si>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</si>
  <si>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</si>
  <si>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</si>
  <si>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</si>
  <si>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</si>
  <si>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</si>
  <si>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</si>
  <si>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</si>
  <si>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</si>
  <si>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</si>
  <si>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</si>
  <si>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</si>
  <si>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</si>
  <si>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3"/>
        <rFont val="TH Niramit AS"/>
      </rPr>
      <t>สูงกว่า</t>
    </r>
    <r>
      <rPr>
        <sz val="13"/>
        <rFont val="TH Niramit AS"/>
      </rPr>
      <t>หรือ</t>
    </r>
    <r>
      <rPr>
        <b/>
        <u/>
        <sz val="13"/>
        <rFont val="TH Niramit AS"/>
      </rPr>
      <t>เท่ากับ</t>
    </r>
    <r>
      <rPr>
        <sz val="13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</si>
  <si>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</si>
  <si>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</si>
  <si>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</si>
  <si>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</si>
  <si>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</si>
  <si>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ส่วนที่  4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</si>
  <si>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</si>
  <si>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</si>
  <si>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</si>
  <si>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</si>
  <si>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 xml:space="preserve">ส่วนที่  5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</si>
  <si>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</si>
  <si>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</si>
  <si>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</si>
  <si>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</si>
  <si>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</si>
  <si>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ส่วนที่  6 สรุปผลการปฏิบัติราชการ/ภาระงานตามข้อตกลง</t>
  </si>
  <si>
    <t>รายงานการดำเนินงาน</t>
  </si>
  <si>
    <r>
      <t xml:space="preserve">กรุณาทำเครื่องหมาย </t>
    </r>
    <r>
      <rPr>
        <b/>
        <sz val="14"/>
        <rFont val="Wingdings"/>
        <charset val="2"/>
      </rPr>
      <t>ü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</si>
  <si>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สูงกว่า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</si>
  <si>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เป็นไปตาม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</si>
  <si>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ต่ำกว่า</t>
    </r>
    <r>
      <rPr>
        <sz val="14"/>
        <rFont val="TH Niramit AS"/>
      </rPr>
      <t>ข้อตกลงที่ได้ทำไว้</t>
    </r>
  </si>
  <si>
    <t>ระดับผลการประเมิน</t>
  </si>
  <si>
    <t>ดีเด่น                   (ช่วงคะแนน 90-100)</t>
  </si>
  <si>
    <t>ดีมาก                   (ช่วงคะแนน 80-89.99)</t>
  </si>
  <si>
    <t>ดี                         (ช่วงคะแนน 70-79.99)</t>
  </si>
  <si>
    <t>พอใช้                   (ช่วงคะแนน 60-69.99)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</si>
  <si>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</si>
  <si>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</si>
  <si>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</si>
  <si>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</si>
  <si>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8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</si>
  <si>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</si>
  <si>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</si>
  <si>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</si>
  <si>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</si>
  <si>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</si>
  <si>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</si>
  <si>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</si>
  <si>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</si>
  <si>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</si>
  <si>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</si>
  <si>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</si>
  <si>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</si>
  <si>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</si>
  <si>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</si>
  <si>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</si>
  <si>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</si>
  <si>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r>
      <t>มีผลการประเมินความพึงพอใจของนักศึกษาต่ออาจารย์ผู้สอนทุกกลุ่ม/รายวิชาของภาคการศึกษาที่ผ่านมา</t>
    </r>
    <r>
      <rPr>
        <sz val="13"/>
        <rFont val="TH Niramit AS"/>
      </rPr>
      <t xml:space="preserve"> ในระดับดีขึ้นไป</t>
    </r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</si>
  <si>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</si>
  <si>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</si>
  <si>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</si>
  <si>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</si>
  <si>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</si>
  <si>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</si>
  <si>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</si>
  <si>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</si>
  <si>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</si>
  <si>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</si>
  <si>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</si>
  <si>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</si>
  <si>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</si>
  <si>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</si>
  <si>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</si>
  <si>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</si>
  <si>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</si>
  <si>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</si>
  <si>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</si>
  <si>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</si>
  <si>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</si>
  <si>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</si>
  <si>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</si>
  <si>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</si>
  <si>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</si>
  <si>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</si>
  <si>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</si>
  <si>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</si>
  <si>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</si>
  <si>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</si>
  <si>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</si>
  <si>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</si>
  <si>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</si>
  <si>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</si>
  <si>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</si>
  <si>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</si>
  <si>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</si>
  <si>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</si>
  <si>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</si>
  <si>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</si>
  <si>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</si>
  <si>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</si>
  <si>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</si>
  <si>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</si>
  <si>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</si>
  <si>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</si>
  <si>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</si>
  <si>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</si>
  <si>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</si>
  <si>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</si>
  <si>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</si>
  <si>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</si>
  <si>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</si>
  <si>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</si>
  <si>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</si>
  <si>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</si>
  <si>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</si>
  <si>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</si>
  <si>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</si>
  <si>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</si>
  <si>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</si>
  <si>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</si>
  <si>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</si>
  <si>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</si>
  <si>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</si>
  <si>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</si>
  <si>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</si>
  <si>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</si>
  <si>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</si>
  <si>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</si>
  <si>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</si>
  <si>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</si>
  <si>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</si>
  <si>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</si>
  <si>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</si>
  <si>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</si>
  <si>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</si>
  <si>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</si>
  <si>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</si>
  <si>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</si>
  <si>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</si>
  <si>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</si>
  <si>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</si>
  <si>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</si>
  <si>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</si>
  <si>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</si>
  <si>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</si>
  <si>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</si>
  <si>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</si>
  <si>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</si>
  <si>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</si>
  <si>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</si>
  <si>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</si>
  <si>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</si>
  <si>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</si>
  <si>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</si>
  <si>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</si>
  <si>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</si>
  <si>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</si>
  <si>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</si>
  <si>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</si>
  <si>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</si>
  <si>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</si>
  <si>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</si>
  <si>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</si>
  <si>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</si>
  <si>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</si>
  <si>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</si>
  <si>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</si>
  <si>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</si>
  <si>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</si>
  <si>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</si>
  <si>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</si>
  <si>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</si>
  <si>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</si>
  <si>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</si>
  <si>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</si>
  <si>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</si>
  <si>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</si>
  <si>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</si>
  <si>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</si>
  <si>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</si>
  <si>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</si>
  <si>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</si>
  <si>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</si>
  <si>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</si>
  <si>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</si>
  <si>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</si>
  <si>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</si>
  <si>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</si>
  <si>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</si>
  <si>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</si>
  <si>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</si>
  <si>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</si>
  <si>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</si>
  <si>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</si>
  <si>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</si>
  <si>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</si>
  <si>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</si>
  <si>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</si>
  <si>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</si>
  <si>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</si>
  <si>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</si>
  <si>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</si>
  <si>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</si>
  <si>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</si>
  <si>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</si>
  <si>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</si>
  <si>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</si>
  <si>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</si>
  <si>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</si>
  <si>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</si>
  <si>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</si>
  <si>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</si>
  <si>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</si>
  <si>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</si>
  <si>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</si>
  <si>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</si>
  <si>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</si>
  <si>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</si>
  <si>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</si>
  <si>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</si>
  <si>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</si>
  <si>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</si>
  <si>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</si>
  <si>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</si>
  <si>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</si>
  <si>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</si>
  <si>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</si>
  <si>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</si>
  <si>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</si>
  <si>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</si>
  <si>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</si>
  <si>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</si>
  <si>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</si>
  <si>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</si>
  <si>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</si>
  <si>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</si>
  <si>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</si>
  <si>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</si>
  <si>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</si>
  <si>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</si>
  <si>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</si>
  <si>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</si>
  <si>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</si>
  <si>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</si>
  <si>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</si>
  <si>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</si>
  <si>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</si>
  <si>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</si>
  <si>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</si>
  <si>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</si>
  <si>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</si>
  <si>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</si>
  <si>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</si>
  <si>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</si>
  <si>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</si>
  <si>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</si>
  <si>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</si>
  <si>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</si>
  <si>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</si>
  <si>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</si>
  <si>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</si>
  <si>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</si>
  <si>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</si>
  <si>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</si>
  <si>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</si>
  <si>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</si>
  <si>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</si>
  <si>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</si>
  <si>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</si>
  <si>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</si>
  <si>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</si>
  <si>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</si>
  <si>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</si>
  <si>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</si>
  <si>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</si>
  <si>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</si>
  <si>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</si>
  <si>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</si>
  <si>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</si>
  <si>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</si>
  <si>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</si>
  <si>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</si>
  <si>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</si>
  <si>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</si>
  <si>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</si>
  <si>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</si>
  <si>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</si>
  <si>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</si>
  <si>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</si>
  <si>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</si>
  <si>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</si>
  <si>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</si>
  <si>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</si>
  <si>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</si>
  <si>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</si>
  <si>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</si>
  <si>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</si>
  <si>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</si>
  <si>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</si>
  <si>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</si>
  <si>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</si>
  <si>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</si>
  <si>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</si>
  <si>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</si>
  <si>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</si>
  <si>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</si>
  <si>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</si>
  <si>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</si>
  <si>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</si>
  <si>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</si>
  <si>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</si>
  <si>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</si>
  <si>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</si>
  <si>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</si>
  <si>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</si>
  <si>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</si>
  <si>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</si>
  <si>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</si>
  <si>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</si>
  <si>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</si>
  <si>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</si>
  <si>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</si>
  <si>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</si>
  <si>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</si>
  <si>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</si>
  <si>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</si>
  <si>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t>(ปรับปรุง มกราคม 2561)</t>
  </si>
  <si>
    <t xml:space="preserve"> (ใช้ภาระงานสอนของเทอม 2/2560 คือ พฤศจิกายน 2560 - 31 มีนาคม 2561 และเทอม 1/2561 คือ มิถุนายน 2561 - ตุลาคม 2561)</t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</si>
  <si>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</si>
  <si>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</si>
  <si>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</si>
  <si>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</si>
  <si>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</si>
  <si>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</si>
  <si>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</si>
  <si>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</si>
  <si>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</si>
  <si>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</si>
  <si>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</si>
  <si>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</si>
  <si>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</si>
  <si>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</si>
  <si>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</si>
  <si>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</si>
  <si>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</si>
  <si>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</si>
  <si>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</si>
  <si>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</si>
  <si>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</si>
  <si>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</si>
  <si>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</si>
  <si>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</si>
  <si>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</si>
  <si>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</si>
  <si>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</si>
  <si>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</si>
  <si>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</si>
  <si>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</si>
  <si>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</si>
  <si>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</si>
  <si>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</si>
  <si>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</si>
  <si>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</si>
  <si>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</si>
  <si>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</si>
  <si>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</si>
  <si>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</si>
  <si>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</si>
  <si>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</si>
  <si>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</si>
  <si>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</si>
  <si>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</si>
  <si>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</si>
  <si>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</si>
  <si>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</si>
  <si>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</si>
  <si>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</si>
  <si>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</si>
  <si>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</si>
  <si>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</si>
  <si>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</si>
  <si>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</si>
  <si>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</si>
  <si>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</si>
  <si>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</si>
  <si>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</si>
  <si>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</si>
  <si>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</si>
  <si>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</si>
  <si>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</si>
  <si>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</si>
  <si>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</si>
  <si>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</si>
  <si>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</si>
  <si>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</si>
  <si>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</si>
  <si>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</si>
  <si>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</si>
  <si>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</si>
  <si>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</si>
  <si>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</si>
  <si>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</si>
  <si>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</si>
  <si>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</si>
  <si>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</si>
  <si>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</si>
  <si>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</si>
  <si>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</si>
  <si>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</si>
  <si>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</si>
  <si>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</si>
  <si>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</si>
  <si>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</si>
  <si>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</si>
  <si>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</si>
  <si>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</si>
  <si>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</si>
  <si>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</si>
  <si>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</si>
  <si>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</si>
  <si>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</si>
  <si>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</si>
  <si>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</si>
  <si>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</si>
  <si>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</si>
  <si>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</si>
  <si>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</si>
  <si>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</si>
  <si>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</si>
  <si>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</si>
  <si>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</si>
  <si>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</si>
  <si>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</si>
  <si>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</si>
  <si>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</si>
  <si>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</si>
  <si>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</si>
  <si>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</si>
  <si>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</si>
  <si>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</si>
  <si>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</si>
  <si>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</si>
  <si>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</si>
  <si>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</si>
  <si>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</si>
  <si>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</si>
  <si>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</si>
  <si>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</si>
  <si>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</si>
  <si>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</si>
  <si>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</si>
  <si>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</si>
  <si>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(ภาระงานตั้งแต่วันที่ 1 ตุลาคม 2560 - 30 กันยายน 2561)</t>
  </si>
  <si>
    <t>**นับทุกโครงการวิจัยที่ทำสัญญาตั้งแต่/อยู่ระหว่างรอบการประเมินวันที่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2561**</t>
  </si>
  <si>
    <t>(วว/ดด/ปี พ.ศ)</t>
  </si>
  <si>
    <t>**นับทุกโครงการวิจัยที่คณะอนุมัติ/รับทราบตั้งแต่วันที่ 1 ตุลาคม 2560 จนถึงวันที่ 30 กันยายน 2561**</t>
  </si>
  <si>
    <t>1. ภาระงานบริหาร</t>
  </si>
  <si>
    <t>2. ภาระงานตามพันธกิจ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</si>
  <si>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2561)</t>
    </r>
  </si>
  <si>
    <t>1/2561</t>
  </si>
  <si>
    <t>2/2561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</si>
  <si>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</si>
  <si>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</si>
  <si>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</si>
  <si>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</si>
  <si>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</si>
  <si>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</si>
  <si>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</si>
  <si>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</si>
  <si>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</si>
  <si>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</si>
  <si>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</si>
  <si>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</si>
  <si>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</si>
  <si>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</si>
  <si>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</si>
  <si>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</si>
  <si>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</si>
  <si>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</si>
  <si>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</si>
  <si>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</si>
  <si>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</si>
  <si>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</si>
  <si>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</si>
  <si>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</si>
  <si>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</si>
  <si>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</si>
  <si>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</si>
  <si>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</si>
  <si>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</si>
  <si>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</si>
  <si>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</si>
  <si>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</si>
  <si>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</si>
  <si>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</si>
  <si>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</si>
  <si>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</si>
  <si>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</si>
  <si>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</si>
  <si>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</si>
  <si>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</si>
  <si>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</si>
  <si>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</si>
  <si>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</si>
  <si>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</si>
  <si>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</si>
  <si>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</si>
  <si>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</si>
  <si>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</si>
  <si>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</si>
  <si>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</si>
  <si>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</si>
  <si>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</si>
  <si>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</si>
  <si>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</si>
  <si>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</si>
  <si>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</si>
  <si>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</si>
  <si>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</si>
  <si>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</si>
  <si>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</si>
  <si>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</si>
  <si>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</si>
  <si>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</si>
  <si>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</si>
  <si>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</si>
  <si>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</si>
  <si>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</si>
  <si>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</si>
  <si>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</si>
  <si>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</si>
  <si>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</si>
  <si>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</si>
  <si>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</si>
  <si>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</si>
  <si>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</si>
  <si>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</si>
  <si>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</si>
  <si>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</si>
  <si>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</si>
  <si>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</si>
  <si>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</si>
  <si>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</si>
  <si>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</si>
  <si>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</si>
  <si>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</si>
  <si>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</si>
  <si>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</si>
  <si>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</si>
  <si>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</si>
  <si>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</si>
  <si>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</si>
  <si>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</si>
  <si>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</si>
  <si>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</si>
  <si>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</si>
  <si>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</si>
  <si>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</si>
  <si>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</si>
  <si>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</si>
  <si>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</si>
  <si>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</si>
  <si>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</si>
  <si>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</si>
  <si>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</si>
  <si>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</si>
  <si>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</si>
  <si>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</si>
  <si>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</si>
  <si>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</si>
  <si>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</si>
  <si>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</si>
  <si>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</si>
  <si>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</si>
  <si>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</si>
  <si>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</si>
  <si>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</si>
  <si>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</si>
  <si>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</si>
  <si>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</si>
  <si>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แต่งกายพื้นเมือง (นับไม่เกิน 15 ครั้ง)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</si>
  <si>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</si>
  <si>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</si>
  <si>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</si>
  <si>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</si>
  <si>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</si>
  <si>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</si>
  <si>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</si>
  <si>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</si>
  <si>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</si>
  <si>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</si>
  <si>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</si>
  <si>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</si>
  <si>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</si>
  <si>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</si>
  <si>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</si>
  <si>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</si>
  <si>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</si>
  <si>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</si>
  <si>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</si>
  <si>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</si>
  <si>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</si>
  <si>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</si>
  <si>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</si>
  <si>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</si>
  <si>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</si>
  <si>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</si>
  <si>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</si>
  <si>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</si>
  <si>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</si>
  <si>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</si>
  <si>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</si>
  <si>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</si>
  <si>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</si>
  <si>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</si>
  <si>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</si>
  <si>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</si>
  <si>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</si>
  <si>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</si>
  <si>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</si>
  <si>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</si>
  <si>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</si>
  <si>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</si>
  <si>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</si>
  <si>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</si>
  <si>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</si>
  <si>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</si>
  <si>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</si>
  <si>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</si>
  <si>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</si>
  <si>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</si>
  <si>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</si>
  <si>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</si>
  <si>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</si>
  <si>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</si>
  <si>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</si>
  <si>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</si>
  <si>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</si>
  <si>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</si>
  <si>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</si>
  <si>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</si>
  <si>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</si>
  <si>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</si>
  <si>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</si>
  <si>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</si>
  <si>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</si>
  <si>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</si>
  <si>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</si>
  <si>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</si>
  <si>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</si>
  <si>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</si>
  <si>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</si>
  <si>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</si>
  <si>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</si>
  <si>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</si>
  <si>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</si>
  <si>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</si>
  <si>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</si>
  <si>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รอบการประเมินปี 2561 (1 ตุลาคม 2560 - 30 กันยายน 2561)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</si>
  <si>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</si>
  <si>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</si>
  <si>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คำอธิบายภาระงานระดับหลักสูตร</t>
  </si>
  <si>
    <r>
      <rPr>
        <b/>
        <sz val="14"/>
        <rFont val="TH Niramit AS"/>
      </rPr>
      <t>ภาระงานระดับหลักสูตร</t>
    </r>
    <r>
      <rPr>
        <sz val="14"/>
        <rFont val="TH Niramit AS"/>
      </rPr>
      <t xml:space="preserve"> เป็นภาระงานที่เกี่ยวกับงานในหลักสูตร โดยมีเอกสารมอบหมายภาระงาน ซึ่งมีความมุ่งหวังในการช่วยเหลืองาน/มีส่วนร่วมในภาระงาน ของหลักสูตร เช่น โครงการ/กิจกรรมในหลักสูตร กิจกรรมเกี่ยวกับนักศึกษาในหลักสูตร เป็นต้น หากมีอาจารย์ที่ไม่ได้สังกัดหลักสูตรใด ก็สามารถมีเอกสารมอบหมายให้ไปช่วยงานในหลักสูตรอื่นได้</t>
    </r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</si>
  <si>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</si>
  <si>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</si>
  <si>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</si>
  <si>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</si>
  <si>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</si>
  <si>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</si>
  <si>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</si>
  <si>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</si>
  <si>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</si>
  <si>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</si>
  <si>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</si>
  <si>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</si>
  <si>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</si>
  <si>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</si>
  <si>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</si>
  <si>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</si>
  <si>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</si>
  <si>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</si>
  <si>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</si>
  <si>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</si>
  <si>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</si>
  <si>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</si>
  <si>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</si>
  <si>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</si>
  <si>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</si>
  <si>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</si>
  <si>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</si>
  <si>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</si>
  <si>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</si>
  <si>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</si>
  <si>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 xml:space="preserve">   1.6 การบริหารงานและการจัดการตาม</t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</si>
  <si>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</si>
  <si>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</si>
  <si>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</si>
  <si>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</si>
  <si>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</si>
  <si>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</si>
  <si>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</si>
  <si>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</si>
  <si>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</si>
  <si>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</si>
  <si>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</si>
  <si>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</si>
  <si>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</si>
  <si>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</si>
  <si>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</si>
  <si>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</si>
  <si>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</si>
  <si>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</si>
  <si>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</si>
  <si>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</si>
  <si>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</si>
  <si>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</si>
  <si>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</si>
  <si>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</si>
  <si>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</si>
  <si>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</si>
  <si>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</si>
  <si>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</si>
  <si>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</si>
  <si>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</si>
  <si>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</si>
  <si>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</si>
  <si>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</si>
  <si>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</si>
  <si>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</si>
  <si>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</si>
  <si>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</si>
  <si>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
</t>
    </r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</si>
  <si>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</si>
  <si>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</si>
  <si>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</si>
  <si>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</si>
  <si>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</si>
  <si>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</si>
  <si>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</si>
  <si>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</si>
  <si>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</si>
  <si>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</si>
  <si>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</si>
  <si>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</si>
  <si>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</si>
  <si>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</si>
  <si>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</si>
  <si>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</si>
  <si>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</si>
  <si>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</si>
  <si>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</si>
  <si>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</si>
  <si>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</si>
  <si>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</si>
  <si>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</si>
  <si>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</si>
  <si>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</si>
  <si>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</si>
  <si>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</si>
  <si>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</si>
  <si>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</si>
  <si>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</si>
  <si>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</si>
  <si>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</si>
  <si>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</si>
  <si>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</si>
  <si>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</si>
  <si>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</si>
  <si>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</si>
  <si>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</si>
  <si>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</si>
  <si>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</si>
  <si>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</si>
  <si>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</si>
  <si>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</si>
  <si>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</si>
  <si>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</si>
  <si>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3.2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</si>
  <si>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</si>
  <si>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5.1</t>
  </si>
  <si>
    <t>5.2</t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</si>
  <si>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</si>
  <si>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</si>
  <si>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</si>
  <si>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</si>
  <si>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</si>
  <si>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</si>
  <si>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</si>
  <si>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</si>
  <si>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</si>
  <si>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กำหนดภาระงาน/กรอกข้อมูลในช่องสีฟ้า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</si>
  <si>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</si>
  <si>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กรุณากรอกข้อมูลในช่องสีฟ้า </t>
  </si>
  <si>
    <t>การคิดคะแนนการประกันคุณภาพของคณะ/หลักสูตร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</si>
  <si>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</si>
  <si>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</si>
  <si>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</si>
  <si>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4. ให้มีการใช้โปรแกรมคำนวณภาระงานสายวิชาการ (APS. V.4.3_พนักงานมหาวิทยาลัย) ในการคำนวณภาระงานตามพันธกิจ</t>
  </si>
  <si>
    <t>(6) สรุปคะแนนด้านผลการประเมินภาระงานเชิงยุทธศาสตร์ของหน่วยงาน/มหาวิทยาลัย = ผลคะแนนรวมของ(คะแนน x น้ำหนัก)/5</t>
  </si>
  <si>
    <t>*ไม่นับภาระงานสอนภาคฤดูร้อน*</t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</si>
  <si>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v.4.3 พนักงานมหาวิทยาลัย)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</si>
  <si>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t>(ว/ด/ปปปป พ.ศ.)</t>
  </si>
  <si>
    <r>
      <rPr>
        <b/>
        <sz val="9"/>
        <color rgb="FFFF0000"/>
        <rFont val="Arial"/>
        <family val="2"/>
      </rPr>
      <t>จำนวนชั่วโมงทำการ/สัปดาห์/ปี</t>
    </r>
    <r>
      <rPr>
        <b/>
        <sz val="9"/>
        <rFont val="Arial"/>
        <family val="2"/>
      </rPr>
      <t xml:space="preserve"> ตามรายงานภาระงาน</t>
    </r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</si>
  <si>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</si>
  <si>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</si>
  <si>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</si>
  <si>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</si>
  <si>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</si>
  <si>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</si>
  <si>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</si>
  <si>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</si>
  <si>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</si>
  <si>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r>
      <rPr>
        <b/>
        <sz val="9"/>
        <color rgb="FFFF0000"/>
        <rFont val="Arial"/>
        <family val="2"/>
      </rPr>
      <t>จำนวนชั่วโมงทำการ/สัปดาห์/ภาคการศึกษา</t>
    </r>
    <r>
      <rPr>
        <b/>
        <sz val="9"/>
        <rFont val="Arial"/>
        <family val="2"/>
      </rPr>
      <t xml:space="preserve"> ตามรายงานภาระงาน
</t>
    </r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</si>
  <si>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</si>
  <si>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</si>
  <si>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6.1 ระดับความสำเร็จตามคำรับรองการปฎิบัติราชการ</t>
  </si>
  <si>
    <t>6.2 การสนับสนุนงานของหน่วยงานให้สอดคล้องกับยุทธศาสตร์ของมหาวิทยาลัย</t>
  </si>
  <si>
    <t>อ.ดร. จุฑามาศ อาจนาเสียว</t>
  </si>
  <si>
    <t>วิทยาศาสตรมหาบัณฑิต สาขาวิชาพืชไร่</t>
  </si>
  <si>
    <t>ผู้ช่วยศาสตราจารย์ ดร.เรืองชัย จูวัฒนสำราญ</t>
  </si>
  <si>
    <t>คณบดี</t>
  </si>
  <si>
    <t>การเรียนการสอน</t>
  </si>
  <si>
    <t>A, S, OJT</t>
  </si>
  <si>
    <t>การวิจัย</t>
  </si>
  <si>
    <t>A, S, M, OJT</t>
  </si>
  <si>
    <t>การใช้เทคโนโลยีสารสนเทศ</t>
  </si>
  <si>
    <t>A, S</t>
  </si>
  <si>
    <t>(ผศ.ดร. วิชญ์ภาส สังพาลี)</t>
  </si>
  <si>
    <t>(ผศ.ดร. เรืองชัย จูวัฒนสำราญ)</t>
  </si>
  <si>
    <t>พร254</t>
  </si>
  <si>
    <t>หลักเกษตรกรรมทั่วไป (2/2560) กลุ่ม 1</t>
  </si>
  <si>
    <t>หลักเกษตรกรรมทั่วไป (2/2560) กลุ่ม 2</t>
  </si>
  <si>
    <t>พร411</t>
  </si>
  <si>
    <t>เทคโนโลยีชีวภาพทางพืช (2/2560)</t>
  </si>
  <si>
    <t>พร596</t>
  </si>
  <si>
    <t>พร597</t>
  </si>
  <si>
    <t>พร599</t>
  </si>
  <si>
    <t>สัมมนา 1  (2/2560)</t>
  </si>
  <si>
    <t>สัมมนา 2  (2/2560)</t>
  </si>
  <si>
    <t>สัมมนา 4  (2/2560)</t>
  </si>
  <si>
    <t>โครงการอบรมการสัมมนาทางวิชาการนักศึกษา</t>
  </si>
  <si>
    <t>โครงการ  Journal Club</t>
  </si>
  <si>
    <t>พร410</t>
  </si>
  <si>
    <t>การปรับปรุงพันธุ์พืช (1/2561) กลุ่ม 1</t>
  </si>
  <si>
    <t>การปรับปรุงพันธุ์พืช (1/2561) กลุ่ม 2</t>
  </si>
  <si>
    <t>เทคโนโลยีชีวภาพทางพืช (1/2561)</t>
  </si>
  <si>
    <t>พร510</t>
  </si>
  <si>
    <t>การปรับปรุงพันธุ์พืชขั้นสูง (1/2561)</t>
  </si>
  <si>
    <t>สัมมนา 1  (1/2561)</t>
  </si>
  <si>
    <t>พร598</t>
  </si>
  <si>
    <t>สัมมนา 2  (2/2561)</t>
  </si>
  <si>
    <t>สัมมนา 3  (2/2561)</t>
  </si>
  <si>
    <t>ตักบาตร</t>
  </si>
  <si>
    <t>รดน้ำดำหัว</t>
  </si>
  <si>
    <t>ทอดกฐิน</t>
  </si>
  <si>
    <t>ทอดผ้าป่า</t>
  </si>
  <si>
    <t xml:space="preserve">   (ผศ.ดร. วิชญ์ภาส สังพาลี)</t>
  </si>
  <si>
    <t xml:space="preserve">   (ผศ.ดร. เรืองชัย จูวัฒนสำราญ))</t>
  </si>
  <si>
    <t>การโคลนและการตรวจสอบรุปแบบการแสดงออกของยีนดีเฟนซินในข้าวไทย</t>
  </si>
  <si>
    <t>การทดสอบพันธุกรรมที่เกี่ยวข้องกับความสามารถในการทนต่อสภาพการขาดฟอสฟอรัสของสายพันธุ์ข้าวไทย</t>
  </si>
  <si>
    <t>ผลของการจัดการและใช้ประโยชน์พื้นที่ภายในศูนย์ศึกษาการพัฒนาห้วยฮ่องไคร้อันเนื่องมาจากพระราชดำริ อำเภอดอยสะเก็ดจังหวัดเชียงใหม่ ต่อความหลากหลายของจุลินทรีย์ในดิน</t>
  </si>
  <si>
    <t>สกว.-59-010</t>
  </si>
  <si>
    <t>สวทช.-60-001</t>
  </si>
  <si>
    <t>กปร.-60-001</t>
  </si>
  <si>
    <t>29/02/2561</t>
  </si>
  <si>
    <t>31/06/2561</t>
  </si>
  <si>
    <t>ความผันแปรของขนาดและน้ำหนักเมล็ดข้าวพันธุ์ขาหนี่ภายใต้ สภาพพื้นที่ปลูกที่แตกต่างกันแลความสัมพันธ์ของน้ำหนักเมล็ดต่อ การเจริญเติบโตของต้นกล้า</t>
  </si>
  <si>
    <t>การเจริญเติบโตและผลผลิตของข้าวภายใต้ระดับปุ๋ยฟอสฟอรัสที่ต่างกัน</t>
  </si>
  <si>
    <t>ลักษณะโครงสร้างและองค์ประกอบของชนิดพันธุ์ไม้ในสังคมพืชป่าเต็งรังที่มีหวายนั่ง บริเวณบ้านลาดสมบูรณ์ใหม่ ตำบลห้วยยาง อำเภอเมืองสกลนคร จังหวัดสกลนคร</t>
  </si>
  <si>
    <t>ลักษณะโครงสร้างของสังคมพืชป่าเต็งรังที่มีผักหวานป่า บริเวณโครงการพัฒนาบ้านโปง อันเนื่องมาจากพระราชดำริ มหาวิทยาลัยแม่โจ้ จังหวัดเชียงใหม่</t>
  </si>
  <si>
    <t>วารสารวิจัยนิเวศวิทยาป่าไม้เมืองไทย ปีที่ 1 ฉบับที่ 1 มกราคม 2561</t>
  </si>
  <si>
    <t>แก่นเกษตร 46 (ฉบับพิเศษ) 82-86</t>
  </si>
  <si>
    <t>แก่นเกษตร 46 (ฉบับพิเศษ) 520-525</t>
  </si>
  <si>
    <t>การประชุมวิชาการ ประจำปี 2560 สำนักวิจัย ม. แม่โจ้</t>
  </si>
  <si>
    <t>The Botany of  Some Tropical Crops และดูงาน</t>
  </si>
  <si>
    <t>โครงการ Journal Club</t>
  </si>
  <si>
    <t>กรรมการโครงการปลูกข้าววันแม่</t>
  </si>
  <si>
    <t>กรรมการจัดประชุมวิชาการ (ฝ่ายวิชาการ) ประจำปี ๒๕๖๐</t>
  </si>
  <si>
    <t>กรรมการจัดทำแผนงบลงทุนระยะ 5 ปี</t>
  </si>
  <si>
    <t>กรรมการดำเนินการสอบคัดเลือก และประเมินการ)ฏิบัติงานลูกจ้างชั่วคราว</t>
  </si>
  <si>
    <t>กรรมการทวนสอบผลสำฤทธิ์ตามมาตรฐานการเรียนรู้ หลักสูตร วิทยาศาสตรมหาบัณฑิต สาขาวิชาพืชสวน</t>
  </si>
  <si>
    <t>กรรมการทวนสอบผลสำฤทธิ์ตามมาตรฐานการเรียนรู้ หลักสูตร วิทยาศาสตรบัณฑิต สาขาวิชาปฐพีศาสตร์</t>
  </si>
  <si>
    <t>กรรมการทวนสอบผลสำฤทธิ์ตามมาตรฐานการเรียนรู้ หลักสูตร วิทยาศาสตรบัณฑิต สาขาวิชาเกษตรเคมี</t>
  </si>
  <si>
    <t>กรรมการปรับปรุงหลักสูตรฯ และ กรรมการวิพากษ์หลักสูตรฯ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</si>
</sst>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0.0"/>
    <numFmt numFmtId="188" formatCode="[$-1010000]dd/mm/yyyy;@"/>
    <numFmt numFmtId="189" formatCode="[$-1010000]m/d/yyyy;@"/>
    <numFmt numFmtId="190" formatCode="[$]dd/mm/yyyy;@"/>
    <numFmt numFmtId="191" formatCode="[$-1010000]d/m/yyyy;@"/>
  </numFmts>
  <fonts count="15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u/>
      <sz val="13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3"/>
      <name val="TH Niramit AS"/>
    </font>
    <font>
      <b/>
      <sz val="13"/>
      <name val="TH Niramit AS"/>
    </font>
    <font>
      <b/>
      <sz val="12"/>
      <color rgb="FFFF0000"/>
      <name val="TH Niramit AS"/>
    </font>
    <font>
      <b/>
      <sz val="14"/>
      <color rgb="FFFF0000"/>
      <name val="TH Niramit AS"/>
    </font>
    <font>
      <b/>
      <u/>
      <sz val="14"/>
      <color rgb="FF0000CC"/>
      <name val="TH Niramit AS"/>
    </font>
    <font>
      <sz val="14"/>
      <color rgb="FFFF0000"/>
      <name val="TH Niramit AS"/>
    </font>
    <font>
      <sz val="13"/>
      <color theme="0"/>
      <name val="TH Niramit AS"/>
    </font>
    <font>
      <b/>
      <sz val="14"/>
      <color rgb="FF006600"/>
      <name val="TH Niramit AS"/>
    </font>
    <font>
      <sz val="11"/>
      <color theme="0" tint="-0.34998626667073579"/>
      <name val="Wingdings 3"/>
      <family val="1"/>
      <charset val="2"/>
    </font>
    <font>
      <sz val="11"/>
      <name val="TH Niramit AS"/>
    </font>
    <font>
      <b/>
      <u/>
      <sz val="8"/>
      <color rgb="FF0000CC"/>
      <name val="TH Niramit AS"/>
    </font>
    <font>
      <sz val="14"/>
      <color theme="6" tint="0.79998168889431442"/>
      <name val="TH Niramit AS"/>
    </font>
    <font>
      <sz val="14"/>
      <color rgb="FF000000"/>
      <name val="TH Niramit AS"/>
    </font>
    <font>
      <sz val="13"/>
      <color rgb="FFFF0000"/>
      <name val="TH Niramit AS"/>
    </font>
    <font>
      <sz val="13"/>
      <name val="Wingdings"/>
      <charset val="2"/>
    </font>
    <font>
      <b/>
      <sz val="10"/>
      <name val="TH Niramit AS"/>
    </font>
    <font>
      <b/>
      <sz val="11"/>
      <name val="TH Niramit AS"/>
    </font>
    <font>
      <sz val="11"/>
      <color rgb="FFFF0000"/>
      <name val="TH Niramit AS"/>
    </font>
    <font>
      <b/>
      <sz val="13"/>
      <color rgb="FFFF0000"/>
      <name val="TH Niramit AS"/>
    </font>
    <font>
      <b/>
      <u/>
      <sz val="14"/>
      <color rgb="FFFF0000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b/>
      <sz val="11"/>
      <color rgb="FFFF0000"/>
      <name val="TH Niramit AS"/>
    </font>
    <font>
      <sz val="14"/>
      <color theme="1"/>
      <name val="TH Niramit AS"/>
    </font>
    <font>
      <sz val="14"/>
      <color indexed="8"/>
      <name val="TH Niramit AS"/>
    </font>
    <font>
      <sz val="10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4"/>
      <name val="Wingdings"/>
      <charset val="2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4"/>
      <color indexed="10"/>
      <name val="TH Niramit AS"/>
    </font>
    <font>
      <sz val="13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FF3399"/>
      </bottom>
      <diagonal/>
    </border>
    <border>
      <left/>
      <right style="medium">
        <color rgb="FFFF3399"/>
      </right>
      <top style="medium">
        <color rgb="FFFF3399"/>
      </top>
      <bottom style="medium">
        <color rgb="FFFF3399"/>
      </bottom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 style="medium">
        <color rgb="FFFF0000"/>
      </left>
      <right style="thin">
        <color theme="1"/>
      </right>
      <top style="medium">
        <color rgb="FFFF339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</borders>
  <cellStyleXfs count="11">
    <xf numFmtId="0" fontId="0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2" fillId="0" borderId="0"/>
  </cellStyleXfs>
  <cellXfs count="3133">
    <xf numFmtId="0" fontId="0" fillId="0" borderId="0" xfId="0"/>
    <xf numFmtId="0" fontId="2" fillId="0" borderId="0" xfId="1"/>
    <xf numFmtId="0" fontId="9" fillId="0" borderId="0" xfId="1" applyFont="1"/>
    <xf numFmtId="0" fontId="7" fillId="0" borderId="0" xfId="1" applyFont="1"/>
    <xf numFmtId="0" fontId="13" fillId="0" borderId="0" xfId="1" applyFont="1"/>
    <xf numFmtId="0" fontId="5" fillId="0" borderId="0" xfId="1" applyFont="1"/>
    <xf numFmtId="0" fontId="16" fillId="0" borderId="0" xfId="1" applyFont="1"/>
    <xf numFmtId="0" fontId="7" fillId="0" borderId="0" xfId="1" applyFont="1" applyAlignment="1">
      <alignment horizontal="center" vertical="center" wrapText="1"/>
    </xf>
    <xf numFmtId="0" fontId="29" fillId="0" borderId="0" xfId="1" applyFont="1"/>
    <xf numFmtId="187" fontId="13" fillId="0" borderId="0" xfId="1" applyNumberFormat="1" applyFont="1" applyAlignment="1">
      <alignment horizontal="right"/>
    </xf>
    <xf numFmtId="49" fontId="2" fillId="0" borderId="0" xfId="1" applyNumberFormat="1"/>
    <xf numFmtId="0" fontId="18" fillId="0" borderId="2" xfId="1" applyFont="1" applyBorder="1"/>
    <xf numFmtId="0" fontId="9" fillId="0" borderId="22" xfId="1" applyFont="1" applyBorder="1"/>
    <xf numFmtId="49" fontId="9" fillId="0" borderId="22" xfId="1" applyNumberFormat="1" applyFont="1" applyBorder="1" applyAlignment="1">
      <alignment horizontal="center"/>
    </xf>
    <xf numFmtId="0" fontId="9" fillId="0" borderId="8" xfId="1" applyFont="1" applyBorder="1"/>
    <xf numFmtId="0" fontId="10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49" fontId="18" fillId="0" borderId="2" xfId="1" applyNumberFormat="1" applyFont="1" applyBorder="1" applyAlignment="1">
      <alignment horizontal="center"/>
    </xf>
    <xf numFmtId="0" fontId="18" fillId="0" borderId="22" xfId="1" applyFont="1" applyBorder="1"/>
    <xf numFmtId="49" fontId="9" fillId="0" borderId="14" xfId="1" applyNumberFormat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9" fontId="18" fillId="0" borderId="8" xfId="1" applyNumberFormat="1" applyFont="1" applyBorder="1" applyAlignment="1">
      <alignment horizontal="center"/>
    </xf>
    <xf numFmtId="0" fontId="18" fillId="0" borderId="11" xfId="1" applyFont="1" applyBorder="1"/>
    <xf numFmtId="0" fontId="18" fillId="0" borderId="11" xfId="1" applyFont="1" applyBorder="1" applyAlignment="1">
      <alignment vertical="center" wrapText="1"/>
    </xf>
    <xf numFmtId="49" fontId="18" fillId="0" borderId="11" xfId="1" applyNumberFormat="1" applyFont="1" applyBorder="1" applyAlignment="1">
      <alignment horizontal="center" vertical="top"/>
    </xf>
    <xf numFmtId="0" fontId="9" fillId="0" borderId="11" xfId="1" applyFont="1" applyBorder="1"/>
    <xf numFmtId="49" fontId="18" fillId="0" borderId="11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9" fillId="0" borderId="0" xfId="1" applyFont="1" applyFill="1"/>
    <xf numFmtId="0" fontId="7" fillId="0" borderId="0" xfId="1" applyFont="1" applyFill="1"/>
    <xf numFmtId="0" fontId="18" fillId="0" borderId="11" xfId="1" applyFont="1" applyFill="1" applyBorder="1" applyAlignment="1">
      <alignment horizontal="center"/>
    </xf>
    <xf numFmtId="49" fontId="9" fillId="0" borderId="22" xfId="1" applyNumberFormat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/>
    </xf>
    <xf numFmtId="49" fontId="9" fillId="0" borderId="14" xfId="1" applyNumberFormat="1" applyFont="1" applyFill="1" applyBorder="1" applyAlignment="1">
      <alignment horizontal="center"/>
    </xf>
    <xf numFmtId="49" fontId="9" fillId="0" borderId="18" xfId="1" applyNumberFormat="1" applyFont="1" applyFill="1" applyBorder="1" applyAlignment="1">
      <alignment horizontal="center"/>
    </xf>
    <xf numFmtId="49" fontId="18" fillId="0" borderId="2" xfId="1" applyNumberFormat="1" applyFont="1" applyFill="1" applyBorder="1" applyAlignment="1">
      <alignment horizontal="center"/>
    </xf>
    <xf numFmtId="49" fontId="18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 vertical="top"/>
    </xf>
    <xf numFmtId="49" fontId="2" fillId="0" borderId="0" xfId="1" applyNumberFormat="1" applyFill="1"/>
    <xf numFmtId="0" fontId="10" fillId="0" borderId="1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31" fillId="0" borderId="11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32" fillId="0" borderId="11" xfId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9" fillId="0" borderId="6" xfId="1" applyNumberFormat="1" applyFont="1" applyFill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0" fontId="2" fillId="0" borderId="22" xfId="1" applyBorder="1"/>
    <xf numFmtId="0" fontId="2" fillId="0" borderId="22" xfId="1" applyFill="1" applyBorder="1"/>
    <xf numFmtId="0" fontId="35" fillId="0" borderId="0" xfId="1" applyFont="1"/>
    <xf numFmtId="49" fontId="13" fillId="0" borderId="0" xfId="1" applyNumberFormat="1" applyFont="1" applyAlignment="1">
      <alignment horizontal="right"/>
    </xf>
    <xf numFmtId="0" fontId="15" fillId="0" borderId="0" xfId="9"/>
    <xf numFmtId="0" fontId="3" fillId="0" borderId="0" xfId="9" applyFont="1" applyProtection="1"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Protection="1">
      <protection locked="0"/>
    </xf>
    <xf numFmtId="0" fontId="3" fillId="0" borderId="0" xfId="9" applyFont="1" applyBorder="1" applyProtection="1">
      <protection locked="0"/>
    </xf>
    <xf numFmtId="0" fontId="13" fillId="0" borderId="10" xfId="9" applyFont="1" applyBorder="1" applyProtection="1">
      <protection locked="0"/>
    </xf>
    <xf numFmtId="0" fontId="7" fillId="0" borderId="10" xfId="9" applyFont="1" applyBorder="1" applyProtection="1">
      <protection locked="0"/>
    </xf>
    <xf numFmtId="0" fontId="7" fillId="0" borderId="22" xfId="9" applyFont="1" applyBorder="1" applyAlignment="1" applyProtection="1">
      <alignment horizontal="center"/>
      <protection locked="0"/>
    </xf>
    <xf numFmtId="0" fontId="13" fillId="0" borderId="8" xfId="9" applyFont="1" applyBorder="1" applyProtection="1">
      <protection locked="0"/>
    </xf>
    <xf numFmtId="0" fontId="7" fillId="0" borderId="0" xfId="9" applyFont="1" applyAlignment="1" applyProtection="1">
      <alignment vertical="center"/>
      <protection locked="0"/>
    </xf>
    <xf numFmtId="0" fontId="7" fillId="0" borderId="13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9" fillId="0" borderId="0" xfId="9" applyFont="1" applyBorder="1" applyAlignment="1" applyProtection="1">
      <protection locked="0"/>
    </xf>
    <xf numFmtId="0" fontId="7" fillId="0" borderId="0" xfId="9" applyFont="1" applyFill="1" applyProtection="1">
      <protection locked="0"/>
    </xf>
    <xf numFmtId="0" fontId="12" fillId="0" borderId="0" xfId="9" applyFont="1" applyProtection="1">
      <protection locked="0"/>
    </xf>
    <xf numFmtId="0" fontId="7" fillId="0" borderId="0" xfId="9" applyFont="1" applyAlignment="1" applyProtection="1">
      <alignment horizontal="right"/>
      <protection locked="0"/>
    </xf>
    <xf numFmtId="0" fontId="9" fillId="0" borderId="2" xfId="9" applyFont="1" applyBorder="1" applyAlignment="1" applyProtection="1">
      <alignment horizontal="center"/>
      <protection locked="0"/>
    </xf>
    <xf numFmtId="0" fontId="13" fillId="0" borderId="22" xfId="9" applyFont="1" applyBorder="1" applyProtection="1">
      <protection locked="0"/>
    </xf>
    <xf numFmtId="0" fontId="13" fillId="0" borderId="13" xfId="9" applyFont="1" applyBorder="1" applyProtection="1">
      <protection locked="0"/>
    </xf>
    <xf numFmtId="0" fontId="9" fillId="0" borderId="0" xfId="9" applyFont="1" applyAlignment="1" applyProtection="1">
      <alignment horizontal="center"/>
      <protection locked="0"/>
    </xf>
    <xf numFmtId="0" fontId="9" fillId="0" borderId="0" xfId="9" applyFont="1" applyProtection="1">
      <protection locked="0"/>
    </xf>
    <xf numFmtId="0" fontId="9" fillId="0" borderId="29" xfId="9" applyFont="1" applyBorder="1" applyProtection="1">
      <protection locked="0"/>
    </xf>
    <xf numFmtId="0" fontId="9" fillId="0" borderId="16" xfId="9" applyFont="1" applyBorder="1" applyProtection="1">
      <protection locked="0"/>
    </xf>
    <xf numFmtId="0" fontId="9" fillId="0" borderId="25" xfId="9" applyFont="1" applyBorder="1" applyProtection="1">
      <protection locked="0"/>
    </xf>
    <xf numFmtId="0" fontId="13" fillId="0" borderId="9" xfId="9" applyFont="1" applyBorder="1" applyProtection="1">
      <protection locked="0"/>
    </xf>
    <xf numFmtId="0" fontId="7" fillId="0" borderId="0" xfId="9" applyFont="1" applyAlignment="1" applyProtection="1">
      <protection locked="0"/>
    </xf>
    <xf numFmtId="0" fontId="9" fillId="0" borderId="12" xfId="9" applyFont="1" applyBorder="1" applyAlignment="1" applyProtection="1">
      <alignment horizontal="center" vertical="top"/>
      <protection locked="0"/>
    </xf>
    <xf numFmtId="0" fontId="13" fillId="0" borderId="12" xfId="9" applyFont="1" applyBorder="1" applyProtection="1">
      <protection locked="0"/>
    </xf>
    <xf numFmtId="0" fontId="3" fillId="0" borderId="0" xfId="9" applyFont="1" applyAlignment="1" applyProtection="1">
      <alignment horizontal="left"/>
      <protection locked="0"/>
    </xf>
    <xf numFmtId="0" fontId="9" fillId="0" borderId="0" xfId="9" applyFont="1" applyBorder="1" applyAlignment="1" applyProtection="1">
      <alignment horizontal="center"/>
      <protection locked="0"/>
    </xf>
    <xf numFmtId="0" fontId="6" fillId="0" borderId="1" xfId="9" applyFont="1" applyBorder="1" applyAlignment="1" applyProtection="1">
      <protection locked="0"/>
    </xf>
    <xf numFmtId="0" fontId="6" fillId="0" borderId="0" xfId="9" applyFont="1" applyBorder="1" applyAlignment="1" applyProtection="1"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Fill="1" applyBorder="1" applyProtection="1">
      <protection locked="0"/>
    </xf>
    <xf numFmtId="0" fontId="7" fillId="0" borderId="5" xfId="9" applyFont="1" applyFill="1" applyBorder="1" applyAlignment="1" applyProtection="1">
      <alignment horizontal="center" vertical="center"/>
    </xf>
    <xf numFmtId="0" fontId="7" fillId="0" borderId="0" xfId="9" applyFont="1" applyFill="1" applyAlignment="1" applyProtection="1">
      <alignment vertical="top"/>
      <protection locked="0"/>
    </xf>
    <xf numFmtId="0" fontId="7" fillId="0" borderId="4" xfId="9" applyFont="1" applyBorder="1" applyAlignment="1" applyProtection="1">
      <alignment horizontal="center"/>
      <protection locked="0"/>
    </xf>
    <xf numFmtId="0" fontId="12" fillId="0" borderId="0" xfId="9" applyFont="1" applyFill="1" applyBorder="1" applyProtection="1">
      <protection locked="0"/>
    </xf>
    <xf numFmtId="0" fontId="7" fillId="0" borderId="9" xfId="9" applyFont="1" applyFill="1" applyBorder="1" applyAlignment="1" applyProtection="1">
      <alignment horizontal="center" vertical="center"/>
    </xf>
    <xf numFmtId="0" fontId="12" fillId="0" borderId="0" xfId="9" applyFont="1" applyBorder="1" applyAlignment="1" applyProtection="1">
      <alignment horizontal="center" vertical="center"/>
      <protection locked="0"/>
    </xf>
    <xf numFmtId="0" fontId="12" fillId="0" borderId="0" xfId="9" applyFont="1" applyFill="1" applyProtection="1">
      <protection locked="0"/>
    </xf>
    <xf numFmtId="0" fontId="3" fillId="0" borderId="0" xfId="9" applyFont="1" applyFill="1" applyBorder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Fill="1" applyProtection="1">
      <protection locked="0"/>
    </xf>
    <xf numFmtId="0" fontId="7" fillId="0" borderId="0" xfId="9" applyFont="1" applyFill="1" applyAlignment="1" applyProtection="1">
      <alignment vertical="center"/>
      <protection locked="0"/>
    </xf>
    <xf numFmtId="0" fontId="7" fillId="0" borderId="0" xfId="9" applyFont="1" applyBorder="1" applyAlignment="1" applyProtection="1">
      <alignment horizontal="center"/>
    </xf>
    <xf numFmtId="0" fontId="7" fillId="0" borderId="0" xfId="9" applyFont="1" applyBorder="1" applyAlignment="1" applyProtection="1"/>
    <xf numFmtId="0" fontId="13" fillId="0" borderId="10" xfId="9" applyFont="1" applyBorder="1" applyAlignment="1" applyProtection="1">
      <alignment horizontal="center"/>
      <protection locked="0"/>
    </xf>
    <xf numFmtId="0" fontId="7" fillId="0" borderId="13" xfId="9" applyFont="1" applyBorder="1" applyAlignment="1" applyProtection="1">
      <alignment horizontal="center"/>
      <protection locked="0"/>
    </xf>
    <xf numFmtId="0" fontId="13" fillId="0" borderId="13" xfId="9" applyFont="1" applyBorder="1" applyAlignment="1" applyProtection="1">
      <alignment horizontal="center" vertical="center"/>
      <protection locked="0"/>
    </xf>
    <xf numFmtId="0" fontId="13" fillId="0" borderId="13" xfId="9" applyFont="1" applyBorder="1" applyAlignment="1" applyProtection="1">
      <alignment vertical="center"/>
      <protection locked="0"/>
    </xf>
    <xf numFmtId="0" fontId="13" fillId="0" borderId="22" xfId="9" applyFont="1" applyBorder="1" applyAlignment="1" applyProtection="1">
      <alignment vertical="center"/>
      <protection locked="0"/>
    </xf>
    <xf numFmtId="0" fontId="13" fillId="0" borderId="12" xfId="9" applyFont="1" applyBorder="1" applyAlignment="1" applyProtection="1">
      <alignment vertical="center"/>
      <protection locked="0"/>
    </xf>
    <xf numFmtId="0" fontId="7" fillId="0" borderId="13" xfId="9" applyFont="1" applyBorder="1" applyAlignment="1" applyProtection="1">
      <alignment vertical="center"/>
      <protection locked="0"/>
    </xf>
    <xf numFmtId="0" fontId="13" fillId="0" borderId="13" xfId="9" applyFont="1" applyBorder="1" applyAlignment="1" applyProtection="1">
      <alignment horizontal="center" vertical="top"/>
      <protection locked="0"/>
    </xf>
    <xf numFmtId="0" fontId="9" fillId="0" borderId="13" xfId="9" applyFont="1" applyBorder="1" applyAlignment="1" applyProtection="1">
      <alignment horizontal="center" vertical="top"/>
      <protection locked="0"/>
    </xf>
    <xf numFmtId="0" fontId="9" fillId="0" borderId="22" xfId="9" applyFont="1" applyBorder="1" applyAlignment="1" applyProtection="1">
      <alignment horizontal="center" vertical="top"/>
      <protection locked="0"/>
    </xf>
    <xf numFmtId="0" fontId="7" fillId="0" borderId="13" xfId="9" applyFont="1" applyBorder="1" applyAlignment="1" applyProtection="1">
      <alignment vertical="top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Fill="1" applyAlignment="1" applyProtection="1">
      <alignment vertical="top"/>
      <protection locked="0"/>
    </xf>
    <xf numFmtId="0" fontId="3" fillId="0" borderId="0" xfId="9" applyFont="1" applyProtection="1"/>
    <xf numFmtId="0" fontId="3" fillId="0" borderId="0" xfId="9" applyFont="1" applyFill="1" applyProtection="1"/>
    <xf numFmtId="0" fontId="20" fillId="0" borderId="0" xfId="9" applyFont="1" applyProtection="1"/>
    <xf numFmtId="0" fontId="6" fillId="0" borderId="0" xfId="9" applyFont="1" applyAlignment="1" applyProtection="1"/>
    <xf numFmtId="0" fontId="13" fillId="0" borderId="0" xfId="9" applyFont="1" applyAlignment="1" applyProtection="1"/>
    <xf numFmtId="0" fontId="7" fillId="0" borderId="0" xfId="9" applyFont="1" applyAlignment="1" applyProtection="1"/>
    <xf numFmtId="0" fontId="13" fillId="0" borderId="0" xfId="9" applyFont="1" applyAlignment="1" applyProtection="1">
      <alignment horizontal="left"/>
    </xf>
    <xf numFmtId="0" fontId="7" fillId="0" borderId="0" xfId="9" applyFont="1" applyProtection="1"/>
    <xf numFmtId="0" fontId="7" fillId="0" borderId="0" xfId="9" applyFont="1" applyBorder="1" applyProtection="1"/>
    <xf numFmtId="0" fontId="7" fillId="0" borderId="0" xfId="9" applyFont="1" applyFill="1" applyBorder="1" applyProtection="1"/>
    <xf numFmtId="0" fontId="13" fillId="0" borderId="0" xfId="9" applyFont="1" applyBorder="1" applyAlignment="1" applyProtection="1">
      <alignment horizontal="left"/>
    </xf>
    <xf numFmtId="0" fontId="13" fillId="0" borderId="0" xfId="9" applyFont="1" applyAlignment="1" applyProtection="1">
      <alignment horizontal="right"/>
    </xf>
    <xf numFmtId="0" fontId="25" fillId="0" borderId="0" xfId="9" applyFont="1" applyBorder="1" applyAlignment="1" applyProtection="1">
      <alignment horizontal="left"/>
    </xf>
    <xf numFmtId="0" fontId="7" fillId="0" borderId="0" xfId="9" applyFont="1" applyBorder="1" applyAlignment="1" applyProtection="1">
      <alignment horizontal="left"/>
    </xf>
    <xf numFmtId="0" fontId="7" fillId="0" borderId="4" xfId="9" applyFont="1" applyFill="1" applyBorder="1" applyProtection="1"/>
    <xf numFmtId="49" fontId="7" fillId="0" borderId="0" xfId="9" applyNumberFormat="1" applyFont="1" applyBorder="1" applyAlignment="1" applyProtection="1"/>
    <xf numFmtId="49" fontId="7" fillId="0" borderId="0" xfId="9" applyNumberFormat="1" applyFont="1" applyBorder="1" applyAlignment="1" applyProtection="1">
      <alignment horizontal="center"/>
    </xf>
    <xf numFmtId="0" fontId="7" fillId="0" borderId="0" xfId="9" applyFont="1" applyFill="1" applyProtection="1"/>
    <xf numFmtId="0" fontId="8" fillId="0" borderId="0" xfId="9" applyFont="1" applyBorder="1" applyProtection="1"/>
    <xf numFmtId="0" fontId="9" fillId="0" borderId="0" xfId="9" applyFont="1" applyBorder="1" applyProtection="1"/>
    <xf numFmtId="0" fontId="9" fillId="0" borderId="0" xfId="9" applyFont="1" applyProtection="1"/>
    <xf numFmtId="0" fontId="9" fillId="0" borderId="0" xfId="9" applyFont="1" applyBorder="1" applyAlignment="1" applyProtection="1">
      <alignment wrapText="1"/>
    </xf>
    <xf numFmtId="0" fontId="9" fillId="0" borderId="0" xfId="9" applyFont="1" applyAlignment="1" applyProtection="1">
      <alignment vertical="top" wrapText="1"/>
    </xf>
    <xf numFmtId="0" fontId="20" fillId="0" borderId="0" xfId="9" applyFont="1" applyAlignment="1" applyProtection="1">
      <alignment horizontal="left"/>
    </xf>
    <xf numFmtId="0" fontId="6" fillId="0" borderId="1" xfId="9" applyFont="1" applyBorder="1" applyAlignment="1" applyProtection="1"/>
    <xf numFmtId="0" fontId="6" fillId="0" borderId="0" xfId="9" applyFont="1" applyBorder="1" applyAlignment="1" applyProtection="1"/>
    <xf numFmtId="0" fontId="9" fillId="0" borderId="5" xfId="9" applyFont="1" applyBorder="1" applyAlignment="1" applyProtection="1">
      <alignment horizontal="right" vertical="top" wrapText="1"/>
    </xf>
    <xf numFmtId="0" fontId="9" fillId="0" borderId="3" xfId="9" applyFont="1" applyBorder="1" applyAlignment="1" applyProtection="1">
      <alignment horizontal="right" vertical="top"/>
    </xf>
    <xf numFmtId="2" fontId="7" fillId="0" borderId="33" xfId="9" applyNumberFormat="1" applyFont="1" applyFill="1" applyBorder="1" applyAlignment="1" applyProtection="1">
      <alignment horizontal="center" vertical="center"/>
    </xf>
    <xf numFmtId="0" fontId="10" fillId="0" borderId="6" xfId="9" applyFont="1" applyBorder="1" applyAlignment="1" applyProtection="1">
      <alignment horizontal="center" vertical="center" wrapText="1" shrinkToFit="1"/>
    </xf>
    <xf numFmtId="0" fontId="7" fillId="0" borderId="7" xfId="9" applyFont="1" applyBorder="1" applyAlignment="1" applyProtection="1">
      <alignment horizontal="center" vertical="center" wrapText="1"/>
    </xf>
    <xf numFmtId="2" fontId="13" fillId="0" borderId="40" xfId="9" applyNumberFormat="1" applyFont="1" applyFill="1" applyBorder="1" applyAlignment="1" applyProtection="1">
      <alignment horizontal="center" vertical="center"/>
    </xf>
    <xf numFmtId="0" fontId="7" fillId="0" borderId="0" xfId="9" applyFont="1" applyAlignment="1" applyProtection="1">
      <alignment vertical="center"/>
    </xf>
    <xf numFmtId="0" fontId="9" fillId="0" borderId="14" xfId="9" applyFont="1" applyBorder="1" applyAlignment="1" applyProtection="1">
      <alignment horizontal="center"/>
    </xf>
    <xf numFmtId="0" fontId="9" fillId="0" borderId="24" xfId="9" applyFont="1" applyBorder="1" applyAlignment="1" applyProtection="1">
      <alignment horizontal="center"/>
    </xf>
    <xf numFmtId="0" fontId="9" fillId="0" borderId="28" xfId="9" applyFont="1" applyBorder="1" applyAlignment="1" applyProtection="1">
      <alignment horizontal="center"/>
    </xf>
    <xf numFmtId="0" fontId="3" fillId="6" borderId="3" xfId="9" applyFont="1" applyFill="1" applyBorder="1" applyProtection="1"/>
    <xf numFmtId="0" fontId="21" fillId="6" borderId="4" xfId="9" applyFont="1" applyFill="1" applyBorder="1" applyProtection="1"/>
    <xf numFmtId="0" fontId="3" fillId="6" borderId="4" xfId="9" applyFont="1" applyFill="1" applyBorder="1" applyProtection="1"/>
    <xf numFmtId="0" fontId="3" fillId="6" borderId="31" xfId="9" applyFont="1" applyFill="1" applyBorder="1" applyProtection="1"/>
    <xf numFmtId="0" fontId="7" fillId="6" borderId="12" xfId="9" applyFont="1" applyFill="1" applyBorder="1" applyProtection="1"/>
    <xf numFmtId="0" fontId="7" fillId="6" borderId="0" xfId="9" applyFont="1" applyFill="1" applyBorder="1" applyProtection="1"/>
    <xf numFmtId="0" fontId="7" fillId="6" borderId="13" xfId="9" applyFont="1" applyFill="1" applyBorder="1" applyProtection="1"/>
    <xf numFmtId="0" fontId="22" fillId="6" borderId="0" xfId="9" applyFont="1" applyFill="1" applyBorder="1" applyProtection="1"/>
    <xf numFmtId="0" fontId="7" fillId="6" borderId="9" xfId="9" applyFont="1" applyFill="1" applyBorder="1" applyProtection="1"/>
    <xf numFmtId="0" fontId="7" fillId="6" borderId="10" xfId="9" applyFont="1" applyFill="1" applyBorder="1" applyProtection="1"/>
    <xf numFmtId="0" fontId="9" fillId="0" borderId="14" xfId="9" applyFont="1" applyFill="1" applyBorder="1" applyAlignment="1" applyProtection="1">
      <alignment horizontal="center"/>
    </xf>
    <xf numFmtId="0" fontId="9" fillId="0" borderId="24" xfId="9" applyFont="1" applyFill="1" applyBorder="1" applyAlignment="1" applyProtection="1">
      <alignment horizontal="center"/>
    </xf>
    <xf numFmtId="0" fontId="9" fillId="0" borderId="28" xfId="9" applyFont="1" applyFill="1" applyBorder="1" applyAlignment="1" applyProtection="1">
      <alignment horizontal="center"/>
    </xf>
    <xf numFmtId="0" fontId="13" fillId="0" borderId="0" xfId="9" applyFont="1" applyAlignment="1" applyProtection="1">
      <alignment horizontal="right"/>
      <protection locked="0"/>
    </xf>
    <xf numFmtId="0" fontId="7" fillId="0" borderId="5" xfId="9" applyFont="1" applyFill="1" applyBorder="1" applyAlignment="1" applyProtection="1">
      <alignment vertical="top"/>
      <protection locked="0"/>
    </xf>
    <xf numFmtId="0" fontId="26" fillId="0" borderId="0" xfId="9" applyFont="1" applyProtection="1"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13" fillId="0" borderId="13" xfId="9" applyFont="1" applyBorder="1" applyAlignment="1" applyProtection="1">
      <alignment horizontal="center"/>
      <protection locked="0"/>
    </xf>
    <xf numFmtId="0" fontId="10" fillId="0" borderId="1" xfId="9" applyFont="1" applyBorder="1" applyAlignment="1" applyProtection="1">
      <alignment horizontal="center" vertical="center" wrapText="1" shrinkToFit="1"/>
    </xf>
    <xf numFmtId="0" fontId="7" fillId="0" borderId="0" xfId="9" applyFont="1" applyAlignment="1" applyProtection="1">
      <alignment horizontal="left"/>
      <protection locked="0"/>
    </xf>
    <xf numFmtId="0" fontId="7" fillId="0" borderId="12" xfId="9" applyFont="1" applyBorder="1" applyAlignment="1" applyProtection="1">
      <alignment horizontal="center"/>
      <protection locked="0"/>
    </xf>
    <xf numFmtId="0" fontId="4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protection locked="0"/>
    </xf>
    <xf numFmtId="0" fontId="5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Border="1" applyProtection="1">
      <protection locked="0"/>
    </xf>
    <xf numFmtId="49" fontId="13" fillId="3" borderId="5" xfId="9" applyNumberFormat="1" applyFont="1" applyFill="1" applyBorder="1" applyAlignment="1" applyProtection="1">
      <alignment horizontal="right" vertical="center"/>
      <protection locked="0"/>
    </xf>
    <xf numFmtId="0" fontId="7" fillId="0" borderId="5" xfId="9" applyFont="1" applyBorder="1" applyAlignment="1" applyProtection="1">
      <alignment horizontal="right" vertical="center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horizontal="center" vertical="top" wrapText="1"/>
      <protection locked="0"/>
    </xf>
    <xf numFmtId="0" fontId="9" fillId="0" borderId="1" xfId="9" applyFont="1" applyBorder="1" applyAlignment="1" applyProtection="1">
      <alignment horizontal="center" vertical="top" wrapText="1"/>
      <protection locked="0"/>
    </xf>
    <xf numFmtId="0" fontId="9" fillId="0" borderId="10" xfId="9" applyFont="1" applyBorder="1" applyAlignment="1" applyProtection="1">
      <alignment horizontal="center" vertical="top" wrapText="1"/>
      <protection locked="0"/>
    </xf>
    <xf numFmtId="49" fontId="9" fillId="0" borderId="11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22" xfId="9" applyNumberFormat="1" applyFont="1" applyBorder="1" applyAlignment="1" applyProtection="1">
      <alignment horizontal="right" vertical="top"/>
      <protection locked="0"/>
    </xf>
    <xf numFmtId="0" fontId="9" fillId="0" borderId="12" xfId="9" applyFont="1" applyBorder="1" applyAlignment="1" applyProtection="1">
      <alignment horizontal="left" vertical="top" wrapText="1"/>
      <protection locked="0"/>
    </xf>
    <xf numFmtId="0" fontId="9" fillId="0" borderId="13" xfId="9" applyFont="1" applyBorder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" vertical="top" wrapText="1"/>
      <protection locked="0"/>
    </xf>
    <xf numFmtId="0" fontId="9" fillId="0" borderId="13" xfId="9" applyFont="1" applyBorder="1" applyAlignment="1" applyProtection="1">
      <alignment horizontal="center" vertical="top" wrapText="1"/>
      <protection locked="0"/>
    </xf>
    <xf numFmtId="49" fontId="7" fillId="0" borderId="9" xfId="9" applyNumberFormat="1" applyFont="1" applyFill="1" applyBorder="1" applyAlignment="1" applyProtection="1">
      <alignment horizontal="right" vertical="top"/>
      <protection locked="0"/>
    </xf>
    <xf numFmtId="49" fontId="7" fillId="0" borderId="9" xfId="9" applyNumberFormat="1" applyFont="1" applyBorder="1" applyAlignment="1" applyProtection="1">
      <alignment horizontal="right" vertical="top"/>
      <protection locked="0"/>
    </xf>
    <xf numFmtId="49" fontId="7" fillId="0" borderId="5" xfId="9" applyNumberFormat="1" applyFont="1" applyBorder="1" applyAlignment="1" applyProtection="1">
      <alignment horizontal="right" vertical="top"/>
      <protection locked="0"/>
    </xf>
    <xf numFmtId="0" fontId="13" fillId="0" borderId="0" xfId="9" applyFont="1" applyFill="1" applyBorder="1" applyAlignment="1" applyProtection="1">
      <protection locked="0"/>
    </xf>
    <xf numFmtId="0" fontId="9" fillId="0" borderId="22" xfId="9" applyFont="1" applyBorder="1" applyAlignment="1" applyProtection="1">
      <alignment horizontal="center"/>
      <protection locked="0"/>
    </xf>
    <xf numFmtId="0" fontId="9" fillId="0" borderId="13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9" fillId="0" borderId="8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left"/>
      <protection locked="0"/>
    </xf>
    <xf numFmtId="0" fontId="9" fillId="0" borderId="30" xfId="9" applyFont="1" applyBorder="1" applyAlignment="1" applyProtection="1">
      <alignment horizontal="left"/>
      <protection locked="0"/>
    </xf>
    <xf numFmtId="0" fontId="30" fillId="0" borderId="0" xfId="9" applyFont="1" applyProtection="1">
      <protection locked="0"/>
    </xf>
    <xf numFmtId="0" fontId="9" fillId="0" borderId="9" xfId="9" applyFont="1" applyBorder="1" applyProtection="1">
      <protection locked="0"/>
    </xf>
    <xf numFmtId="0" fontId="9" fillId="0" borderId="1" xfId="9" applyFont="1" applyBorder="1" applyProtection="1">
      <protection locked="0"/>
    </xf>
    <xf numFmtId="0" fontId="9" fillId="0" borderId="10" xfId="9" applyFont="1" applyBorder="1" applyProtection="1">
      <protection locked="0"/>
    </xf>
    <xf numFmtId="0" fontId="13" fillId="0" borderId="0" xfId="9" applyFont="1" applyProtection="1">
      <protection locked="0"/>
    </xf>
    <xf numFmtId="0" fontId="9" fillId="0" borderId="18" xfId="9" applyFont="1" applyFill="1" applyBorder="1" applyAlignment="1" applyProtection="1">
      <alignment horizontal="center" vertical="center"/>
    </xf>
    <xf numFmtId="0" fontId="9" fillId="0" borderId="8" xfId="9" applyFont="1" applyFill="1" applyBorder="1" applyAlignment="1" applyProtection="1">
      <alignment horizontal="center" vertical="center"/>
    </xf>
    <xf numFmtId="0" fontId="21" fillId="6" borderId="3" xfId="9" applyFont="1" applyFill="1" applyBorder="1" applyProtection="1"/>
    <xf numFmtId="0" fontId="12" fillId="6" borderId="4" xfId="9" applyFont="1" applyFill="1" applyBorder="1" applyProtection="1"/>
    <xf numFmtId="0" fontId="12" fillId="6" borderId="31" xfId="9" applyFont="1" applyFill="1" applyBorder="1" applyProtection="1"/>
    <xf numFmtId="0" fontId="7" fillId="0" borderId="0" xfId="9" applyFont="1" applyFill="1" applyBorder="1" applyAlignment="1" applyProtection="1">
      <alignment horizontal="left" vertical="top" wrapText="1"/>
    </xf>
    <xf numFmtId="0" fontId="7" fillId="6" borderId="12" xfId="9" applyFont="1" applyFill="1" applyBorder="1" applyAlignment="1" applyProtection="1">
      <alignment horizontal="right"/>
    </xf>
    <xf numFmtId="0" fontId="22" fillId="6" borderId="0" xfId="9" applyFont="1" applyFill="1" applyBorder="1" applyAlignment="1" applyProtection="1">
      <alignment vertical="top"/>
    </xf>
    <xf numFmtId="0" fontId="7" fillId="6" borderId="0" xfId="9" applyFont="1" applyFill="1" applyBorder="1" applyAlignment="1" applyProtection="1">
      <alignment vertical="top"/>
    </xf>
    <xf numFmtId="0" fontId="12" fillId="6" borderId="12" xfId="9" applyFont="1" applyFill="1" applyBorder="1" applyProtection="1"/>
    <xf numFmtId="0" fontId="21" fillId="6" borderId="0" xfId="9" applyFont="1" applyFill="1" applyBorder="1" applyProtection="1"/>
    <xf numFmtId="0" fontId="12" fillId="6" borderId="13" xfId="9" applyFont="1" applyFill="1" applyBorder="1" applyProtection="1"/>
    <xf numFmtId="0" fontId="7" fillId="6" borderId="9" xfId="9" applyFont="1" applyFill="1" applyBorder="1" applyAlignment="1" applyProtection="1">
      <alignment wrapText="1"/>
    </xf>
    <xf numFmtId="0" fontId="16" fillId="0" borderId="0" xfId="9" applyFont="1" applyFill="1" applyBorder="1" applyAlignment="1" applyProtection="1">
      <alignment vertical="top"/>
    </xf>
    <xf numFmtId="0" fontId="7" fillId="6" borderId="31" xfId="9" applyFont="1" applyFill="1" applyBorder="1" applyAlignment="1" applyProtection="1">
      <alignment vertical="top" wrapText="1"/>
    </xf>
    <xf numFmtId="0" fontId="28" fillId="6" borderId="12" xfId="9" applyFont="1" applyFill="1" applyBorder="1" applyProtection="1"/>
    <xf numFmtId="0" fontId="28" fillId="6" borderId="13" xfId="9" applyFont="1" applyFill="1" applyBorder="1" applyProtection="1"/>
    <xf numFmtId="0" fontId="12" fillId="0" borderId="0" xfId="9" applyFont="1" applyProtection="1"/>
    <xf numFmtId="0" fontId="12" fillId="0" borderId="0" xfId="9" applyFont="1" applyAlignment="1" applyProtection="1">
      <alignment vertical="top"/>
    </xf>
    <xf numFmtId="0" fontId="7" fillId="6" borderId="0" xfId="9" applyFont="1" applyFill="1" applyBorder="1" applyAlignment="1" applyProtection="1">
      <alignment vertical="top" wrapText="1"/>
    </xf>
    <xf numFmtId="49" fontId="9" fillId="0" borderId="11" xfId="9" applyNumberFormat="1" applyFont="1" applyFill="1" applyBorder="1" applyAlignment="1" applyProtection="1">
      <alignment horizontal="right" vertical="top"/>
      <protection locked="0"/>
    </xf>
    <xf numFmtId="0" fontId="7" fillId="7" borderId="4" xfId="9" applyFont="1" applyFill="1" applyBorder="1" applyProtection="1"/>
    <xf numFmtId="0" fontId="9" fillId="0" borderId="12" xfId="9" applyFont="1" applyBorder="1" applyAlignment="1" applyProtection="1">
      <alignment vertical="top" wrapText="1"/>
      <protection locked="0"/>
    </xf>
    <xf numFmtId="0" fontId="9" fillId="0" borderId="13" xfId="9" applyFont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Alignment="1" applyProtection="1">
      <alignment vertical="top"/>
    </xf>
    <xf numFmtId="0" fontId="0" fillId="0" borderId="0" xfId="0" applyAlignment="1">
      <alignment vertical="top"/>
    </xf>
    <xf numFmtId="0" fontId="9" fillId="0" borderId="0" xfId="9" applyFont="1" applyAlignment="1" applyProtection="1">
      <alignment vertical="top"/>
    </xf>
    <xf numFmtId="0" fontId="9" fillId="0" borderId="0" xfId="9" applyFont="1" applyBorder="1" applyAlignment="1" applyProtection="1">
      <alignment vertical="top" wrapText="1"/>
    </xf>
    <xf numFmtId="0" fontId="37" fillId="0" borderId="11" xfId="0" applyFont="1" applyBorder="1" applyAlignment="1">
      <alignment horizontal="center" vertical="top" wrapText="1"/>
    </xf>
    <xf numFmtId="0" fontId="0" fillId="0" borderId="0" xfId="0" applyAlignment="1"/>
    <xf numFmtId="0" fontId="37" fillId="0" borderId="11" xfId="0" applyFont="1" applyBorder="1" applyAlignment="1">
      <alignment horizontal="center" vertical="top"/>
    </xf>
    <xf numFmtId="0" fontId="37" fillId="0" borderId="11" xfId="0" applyFont="1" applyBorder="1" applyAlignment="1">
      <alignment vertical="top"/>
    </xf>
    <xf numFmtId="0" fontId="40" fillId="0" borderId="0" xfId="0" applyFont="1"/>
    <xf numFmtId="0" fontId="40" fillId="0" borderId="11" xfId="0" applyFont="1" applyBorder="1" applyAlignment="1">
      <alignment wrapText="1"/>
    </xf>
    <xf numFmtId="0" fontId="39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40" fillId="0" borderId="11" xfId="0" applyFont="1" applyBorder="1"/>
    <xf numFmtId="0" fontId="40" fillId="0" borderId="11" xfId="0" applyFont="1" applyFill="1" applyBorder="1"/>
    <xf numFmtId="0" fontId="40" fillId="0" borderId="11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left"/>
    </xf>
    <xf numFmtId="0" fontId="40" fillId="0" borderId="11" xfId="0" applyFont="1" applyFill="1" applyBorder="1" applyAlignment="1">
      <alignment horizontal="left"/>
    </xf>
    <xf numFmtId="1" fontId="7" fillId="0" borderId="41" xfId="9" applyNumberFormat="1" applyFont="1" applyFill="1" applyBorder="1" applyAlignment="1" applyProtection="1">
      <alignment horizontal="center" vertical="top" wrapText="1"/>
      <protection locked="0"/>
    </xf>
    <xf numFmtId="1" fontId="7" fillId="0" borderId="43" xfId="9" applyNumberFormat="1" applyFon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11" xfId="0" applyBorder="1" applyAlignment="1">
      <alignment horizontal="center"/>
    </xf>
    <xf numFmtId="0" fontId="40" fillId="0" borderId="11" xfId="0" applyFont="1" applyBorder="1" applyAlignment="1">
      <alignment horizontal="left"/>
    </xf>
    <xf numFmtId="0" fontId="39" fillId="0" borderId="11" xfId="0" applyFont="1" applyBorder="1" applyAlignment="1">
      <alignment horizontal="center"/>
    </xf>
    <xf numFmtId="0" fontId="13" fillId="0" borderId="0" xfId="9" applyFont="1" applyFill="1" applyProtection="1"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12" fillId="0" borderId="0" xfId="9" applyFont="1" applyBorder="1" applyProtection="1"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vertical="center"/>
      <protection locked="0"/>
    </xf>
    <xf numFmtId="0" fontId="7" fillId="0" borderId="0" xfId="9" applyFont="1" applyBorder="1" applyAlignment="1" applyProtection="1">
      <alignment vertical="center"/>
      <protection locked="0"/>
    </xf>
    <xf numFmtId="0" fontId="9" fillId="0" borderId="0" xfId="9" applyFont="1" applyFill="1" applyBorder="1" applyAlignment="1" applyProtection="1">
      <alignment horizontal="center"/>
      <protection locked="0"/>
    </xf>
    <xf numFmtId="0" fontId="9" fillId="0" borderId="0" xfId="9" applyFont="1" applyFill="1" applyBorder="1" applyProtection="1">
      <protection locked="0"/>
    </xf>
    <xf numFmtId="0" fontId="15" fillId="0" borderId="0" xfId="9" applyBorder="1"/>
    <xf numFmtId="0" fontId="7" fillId="0" borderId="0" xfId="9" applyFont="1" applyFill="1" applyBorder="1" applyAlignment="1" applyProtection="1">
      <alignment vertical="top" wrapText="1"/>
    </xf>
    <xf numFmtId="49" fontId="7" fillId="6" borderId="0" xfId="9" applyNumberFormat="1" applyFont="1" applyFill="1" applyBorder="1" applyAlignment="1" applyProtection="1"/>
    <xf numFmtId="0" fontId="7" fillId="0" borderId="2" xfId="9" applyFont="1" applyFill="1" applyBorder="1" applyAlignment="1" applyProtection="1">
      <alignment vertical="center"/>
      <protection locked="0"/>
    </xf>
    <xf numFmtId="0" fontId="7" fillId="0" borderId="2" xfId="9" applyFont="1" applyBorder="1" applyAlignment="1" applyProtection="1">
      <alignment vertical="center"/>
      <protection locked="0"/>
    </xf>
    <xf numFmtId="0" fontId="28" fillId="0" borderId="0" xfId="9" applyFont="1" applyFill="1" applyBorder="1" applyProtection="1"/>
    <xf numFmtId="49" fontId="7" fillId="0" borderId="0" xfId="9" applyNumberFormat="1" applyFont="1" applyFill="1" applyBorder="1" applyAlignment="1" applyProtection="1"/>
    <xf numFmtId="0" fontId="9" fillId="0" borderId="12" xfId="9" applyFont="1" applyBorder="1" applyAlignment="1" applyProtection="1">
      <alignment horizontal="center" vertical="top" wrapText="1"/>
      <protection locked="0"/>
    </xf>
    <xf numFmtId="0" fontId="13" fillId="0" borderId="0" xfId="9" applyFont="1" applyFill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12" fillId="0" borderId="0" xfId="9" applyFont="1" applyFill="1" applyBorder="1" applyAlignment="1" applyProtection="1">
      <alignment horizontal="center"/>
      <protection locked="0"/>
    </xf>
    <xf numFmtId="0" fontId="9" fillId="6" borderId="12" xfId="9" applyFont="1" applyFill="1" applyBorder="1" applyAlignment="1" applyProtection="1">
      <alignment vertical="top" wrapText="1"/>
    </xf>
    <xf numFmtId="0" fontId="9" fillId="6" borderId="13" xfId="9" applyFont="1" applyFill="1" applyBorder="1" applyAlignment="1" applyProtection="1">
      <alignment vertical="top" wrapText="1"/>
    </xf>
    <xf numFmtId="0" fontId="9" fillId="6" borderId="9" xfId="9" applyFont="1" applyFill="1" applyBorder="1" applyAlignment="1" applyProtection="1">
      <alignment vertical="top" wrapText="1"/>
    </xf>
    <xf numFmtId="0" fontId="9" fillId="6" borderId="10" xfId="9" applyFont="1" applyFill="1" applyBorder="1" applyAlignment="1" applyProtection="1">
      <alignment vertical="top" wrapText="1"/>
    </xf>
    <xf numFmtId="0" fontId="9" fillId="0" borderId="0" xfId="9" applyFont="1" applyAlignment="1" applyProtection="1">
      <alignment vertical="top" wrapText="1"/>
      <protection locked="0"/>
    </xf>
    <xf numFmtId="0" fontId="3" fillId="0" borderId="0" xfId="1" applyFont="1" applyProtection="1"/>
    <xf numFmtId="0" fontId="4" fillId="0" borderId="0" xfId="1" applyFont="1" applyProtection="1"/>
    <xf numFmtId="0" fontId="7" fillId="0" borderId="0" xfId="1" applyFont="1" applyProtection="1"/>
    <xf numFmtId="0" fontId="13" fillId="0" borderId="0" xfId="1" applyFont="1" applyProtection="1"/>
    <xf numFmtId="0" fontId="6" fillId="0" borderId="0" xfId="1" applyFont="1" applyAlignment="1" applyProtection="1"/>
    <xf numFmtId="0" fontId="13" fillId="0" borderId="0" xfId="1" applyFont="1" applyAlignment="1" applyProtection="1"/>
    <xf numFmtId="0" fontId="7" fillId="0" borderId="0" xfId="1" applyFont="1" applyBorder="1" applyAlignment="1" applyProtection="1"/>
    <xf numFmtId="0" fontId="13" fillId="0" borderId="0" xfId="1" applyFont="1" applyAlignment="1" applyProtection="1">
      <alignment horizontal="left"/>
    </xf>
    <xf numFmtId="0" fontId="13" fillId="0" borderId="53" xfId="1" applyFont="1" applyBorder="1" applyAlignment="1" applyProtection="1">
      <alignment horizontal="right"/>
    </xf>
    <xf numFmtId="0" fontId="7" fillId="0" borderId="53" xfId="1" applyFont="1" applyBorder="1" applyAlignment="1" applyProtection="1"/>
    <xf numFmtId="0" fontId="7" fillId="0" borderId="0" xfId="1" applyFont="1" applyBorder="1" applyAlignment="1" applyProtection="1">
      <protection locked="0"/>
    </xf>
    <xf numFmtId="0" fontId="3" fillId="6" borderId="3" xfId="1" applyFont="1" applyFill="1" applyBorder="1" applyProtection="1"/>
    <xf numFmtId="0" fontId="21" fillId="6" borderId="4" xfId="1" applyFont="1" applyFill="1" applyBorder="1" applyProtection="1"/>
    <xf numFmtId="0" fontId="3" fillId="6" borderId="4" xfId="1" applyFont="1" applyFill="1" applyBorder="1" applyProtection="1"/>
    <xf numFmtId="0" fontId="7" fillId="6" borderId="4" xfId="1" applyFont="1" applyFill="1" applyBorder="1" applyProtection="1"/>
    <xf numFmtId="0" fontId="7" fillId="6" borderId="31" xfId="1" applyFont="1" applyFill="1" applyBorder="1" applyProtection="1"/>
    <xf numFmtId="0" fontId="7" fillId="6" borderId="12" xfId="1" applyFont="1" applyFill="1" applyBorder="1" applyProtection="1"/>
    <xf numFmtId="0" fontId="7" fillId="6" borderId="0" xfId="1" applyFont="1" applyFill="1" applyBorder="1" applyProtection="1"/>
    <xf numFmtId="0" fontId="7" fillId="6" borderId="44" xfId="1" applyFont="1" applyFill="1" applyBorder="1" applyProtection="1"/>
    <xf numFmtId="0" fontId="7" fillId="6" borderId="13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3" fillId="6" borderId="0" xfId="1" applyFont="1" applyFill="1" applyBorder="1" applyProtection="1"/>
    <xf numFmtId="49" fontId="7" fillId="0" borderId="0" xfId="1" applyNumberFormat="1" applyFont="1" applyBorder="1" applyAlignment="1" applyProtection="1"/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left"/>
    </xf>
    <xf numFmtId="49" fontId="7" fillId="0" borderId="53" xfId="1" applyNumberFormat="1" applyFont="1" applyBorder="1" applyAlignment="1" applyProtection="1"/>
    <xf numFmtId="49" fontId="7" fillId="0" borderId="0" xfId="1" applyNumberFormat="1" applyFont="1" applyBorder="1" applyAlignment="1" applyProtection="1">
      <protection locked="0"/>
    </xf>
    <xf numFmtId="49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Protection="1"/>
    <xf numFmtId="49" fontId="7" fillId="0" borderId="53" xfId="1" applyNumberFormat="1" applyFont="1" applyBorder="1" applyAlignment="1" applyProtection="1">
      <alignment horizontal="center"/>
    </xf>
    <xf numFmtId="49" fontId="7" fillId="0" borderId="0" xfId="1" applyNumberFormat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/>
    <xf numFmtId="0" fontId="3" fillId="0" borderId="0" xfId="1" applyFont="1" applyBorder="1" applyProtection="1"/>
    <xf numFmtId="0" fontId="7" fillId="6" borderId="9" xfId="1" applyFont="1" applyFill="1" applyBorder="1" applyProtection="1"/>
    <xf numFmtId="0" fontId="7" fillId="6" borderId="1" xfId="1" applyFont="1" applyFill="1" applyBorder="1" applyProtection="1"/>
    <xf numFmtId="0" fontId="7" fillId="6" borderId="10" xfId="1" applyFont="1" applyFill="1" applyBorder="1" applyProtection="1"/>
    <xf numFmtId="0" fontId="7" fillId="0" borderId="0" xfId="1" applyFont="1" applyAlignment="1" applyProtection="1">
      <alignment horizontal="center"/>
    </xf>
    <xf numFmtId="0" fontId="9" fillId="0" borderId="5" xfId="1" applyNumberFormat="1" applyFont="1" applyBorder="1" applyAlignment="1" applyProtection="1">
      <alignment horizontal="right" vertical="top"/>
    </xf>
    <xf numFmtId="0" fontId="7" fillId="0" borderId="11" xfId="1" applyFont="1" applyBorder="1" applyAlignment="1" applyProtection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/>
    </xf>
    <xf numFmtId="2" fontId="13" fillId="0" borderId="13" xfId="1" applyNumberFormat="1" applyFont="1" applyBorder="1" applyAlignment="1" applyProtection="1">
      <alignment horizontal="center" vertical="center"/>
    </xf>
    <xf numFmtId="0" fontId="9" fillId="0" borderId="12" xfId="1" applyNumberFormat="1" applyFont="1" applyBorder="1" applyAlignment="1" applyProtection="1">
      <alignment horizontal="right" vertical="top"/>
    </xf>
    <xf numFmtId="0" fontId="7" fillId="0" borderId="8" xfId="1" applyFont="1" applyBorder="1" applyAlignment="1" applyProtection="1">
      <alignment horizontal="center" vertical="center"/>
    </xf>
    <xf numFmtId="2" fontId="13" fillId="0" borderId="31" xfId="1" applyNumberFormat="1" applyFont="1" applyBorder="1" applyAlignment="1" applyProtection="1">
      <alignment horizontal="center" vertical="center"/>
    </xf>
    <xf numFmtId="0" fontId="9" fillId="0" borderId="3" xfId="1" applyNumberFormat="1" applyFont="1" applyBorder="1" applyAlignment="1" applyProtection="1">
      <alignment horizontal="right" vertical="top"/>
    </xf>
    <xf numFmtId="1" fontId="7" fillId="0" borderId="31" xfId="1" applyNumberFormat="1" applyFont="1" applyBorder="1" applyAlignment="1" applyProtection="1">
      <alignment horizontal="center" vertical="center"/>
    </xf>
    <xf numFmtId="2" fontId="13" fillId="8" borderId="11" xfId="1" applyNumberFormat="1" applyFont="1" applyFill="1" applyBorder="1" applyAlignment="1" applyProtection="1">
      <alignment horizontal="center"/>
    </xf>
    <xf numFmtId="0" fontId="38" fillId="0" borderId="11" xfId="1" applyFont="1" applyBorder="1" applyAlignment="1" applyProtection="1">
      <alignment horizontal="center"/>
    </xf>
    <xf numFmtId="0" fontId="38" fillId="0" borderId="0" xfId="1" applyFont="1" applyBorder="1" applyAlignment="1" applyProtection="1">
      <alignment horizontal="center"/>
    </xf>
    <xf numFmtId="0" fontId="38" fillId="0" borderId="0" xfId="1" applyFont="1" applyBorder="1" applyAlignment="1" applyProtection="1"/>
    <xf numFmtId="49" fontId="13" fillId="3" borderId="5" xfId="1" applyNumberFormat="1" applyFont="1" applyFill="1" applyBorder="1" applyAlignment="1" applyProtection="1">
      <alignment horizontal="right" vertical="center"/>
    </xf>
    <xf numFmtId="0" fontId="7" fillId="0" borderId="12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center" vertical="center" wrapText="1" shrinkToFit="1"/>
    </xf>
    <xf numFmtId="2" fontId="7" fillId="0" borderId="1" xfId="1" applyNumberFormat="1" applyFont="1" applyBorder="1" applyAlignment="1" applyProtection="1">
      <alignment horizontal="center" vertical="center" wrapText="1" shrinkToFit="1"/>
    </xf>
    <xf numFmtId="4" fontId="7" fillId="0" borderId="11" xfId="1" applyNumberFormat="1" applyFont="1" applyBorder="1" applyAlignment="1" applyProtection="1">
      <alignment horizontal="center" vertical="center" wrapText="1" shrinkToFit="1"/>
    </xf>
    <xf numFmtId="2" fontId="13" fillId="0" borderId="10" xfId="1" applyNumberFormat="1" applyFont="1" applyBorder="1" applyAlignment="1" applyProtection="1">
      <alignment horizontal="center" vertical="center" wrapText="1" shrinkToFit="1"/>
    </xf>
    <xf numFmtId="0" fontId="7" fillId="0" borderId="8" xfId="1" applyFont="1" applyBorder="1" applyAlignment="1" applyProtection="1">
      <alignment horizontal="center" vertical="center" wrapText="1" shrinkToFit="1"/>
    </xf>
    <xf numFmtId="2" fontId="24" fillId="9" borderId="11" xfId="1" applyNumberFormat="1" applyFont="1" applyFill="1" applyBorder="1" applyAlignment="1" applyProtection="1">
      <alignment horizontal="center"/>
    </xf>
    <xf numFmtId="0" fontId="7" fillId="0" borderId="4" xfId="1" applyFont="1" applyFill="1" applyBorder="1" applyProtection="1"/>
    <xf numFmtId="0" fontId="13" fillId="0" borderId="11" xfId="1" applyFont="1" applyBorder="1" applyAlignment="1" applyProtection="1">
      <alignment horizontal="center"/>
    </xf>
    <xf numFmtId="49" fontId="9" fillId="0" borderId="11" xfId="1" applyNumberFormat="1" applyFont="1" applyBorder="1" applyAlignment="1" applyProtection="1">
      <alignment horizontal="right" vertical="top"/>
    </xf>
    <xf numFmtId="0" fontId="7" fillId="0" borderId="7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top"/>
    </xf>
    <xf numFmtId="0" fontId="7" fillId="0" borderId="7" xfId="1" applyFont="1" applyBorder="1" applyAlignment="1" applyProtection="1">
      <alignment horizontal="center" vertical="top"/>
    </xf>
    <xf numFmtId="2" fontId="13" fillId="0" borderId="11" xfId="1" applyNumberFormat="1" applyFont="1" applyBorder="1" applyAlignment="1" applyProtection="1">
      <alignment horizontal="center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22" xfId="1" applyNumberFormat="1" applyFont="1" applyBorder="1" applyAlignment="1" applyProtection="1">
      <alignment horizontal="right" vertical="top"/>
    </xf>
    <xf numFmtId="0" fontId="9" fillId="0" borderId="15" xfId="1" applyFont="1" applyBorder="1" applyAlignment="1" applyProtection="1">
      <alignment horizontal="left" vertical="top" wrapText="1"/>
    </xf>
    <xf numFmtId="0" fontId="9" fillId="0" borderId="17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center" vertical="top"/>
    </xf>
    <xf numFmtId="0" fontId="7" fillId="0" borderId="17" xfId="1" applyFont="1" applyBorder="1" applyAlignment="1" applyProtection="1">
      <alignment horizontal="center" vertical="top"/>
    </xf>
    <xf numFmtId="0" fontId="7" fillId="0" borderId="14" xfId="1" applyFont="1" applyBorder="1" applyAlignment="1" applyProtection="1">
      <alignment horizontal="center"/>
    </xf>
    <xf numFmtId="2" fontId="13" fillId="0" borderId="14" xfId="1" applyNumberFormat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left" vertical="top" wrapText="1"/>
    </xf>
    <xf numFmtId="0" fontId="9" fillId="0" borderId="26" xfId="1" applyFont="1" applyBorder="1" applyAlignment="1" applyProtection="1">
      <alignment horizontal="left" vertical="top" wrapText="1"/>
    </xf>
    <xf numFmtId="0" fontId="7" fillId="0" borderId="24" xfId="1" applyFont="1" applyBorder="1" applyAlignment="1" applyProtection="1">
      <alignment horizontal="center" vertical="top"/>
    </xf>
    <xf numFmtId="0" fontId="7" fillId="0" borderId="26" xfId="1" applyFont="1" applyBorder="1" applyAlignment="1" applyProtection="1">
      <alignment horizontal="center" vertical="top"/>
    </xf>
    <xf numFmtId="0" fontId="7" fillId="0" borderId="24" xfId="1" applyFont="1" applyBorder="1" applyAlignment="1" applyProtection="1">
      <alignment horizontal="center"/>
    </xf>
    <xf numFmtId="2" fontId="13" fillId="0" borderId="24" xfId="1" applyNumberFormat="1" applyFont="1" applyBorder="1" applyAlignment="1" applyProtection="1">
      <alignment horizontal="center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27" xfId="1" applyFont="1" applyBorder="1" applyAlignment="1" applyProtection="1">
      <alignment horizontal="left" vertical="top" wrapText="1"/>
    </xf>
    <xf numFmtId="0" fontId="9" fillId="0" borderId="30" xfId="1" applyFont="1" applyBorder="1" applyAlignment="1" applyProtection="1">
      <alignment horizontal="left" vertical="top" wrapText="1"/>
    </xf>
    <xf numFmtId="0" fontId="7" fillId="0" borderId="28" xfId="1" applyFont="1" applyBorder="1" applyAlignment="1" applyProtection="1">
      <alignment horizontal="center" vertical="top"/>
    </xf>
    <xf numFmtId="0" fontId="7" fillId="0" borderId="30" xfId="1" applyFont="1" applyBorder="1" applyAlignment="1" applyProtection="1">
      <alignment horizontal="center" vertical="top"/>
    </xf>
    <xf numFmtId="0" fontId="7" fillId="0" borderId="28" xfId="1" applyFont="1" applyBorder="1" applyAlignment="1" applyProtection="1">
      <alignment horizontal="center"/>
    </xf>
    <xf numFmtId="2" fontId="13" fillId="0" borderId="28" xfId="1" applyNumberFormat="1" applyFont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center" vertical="top"/>
    </xf>
    <xf numFmtId="2" fontId="7" fillId="0" borderId="6" xfId="1" applyNumberFormat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/>
    </xf>
    <xf numFmtId="0" fontId="7" fillId="0" borderId="7" xfId="1" applyFont="1" applyFill="1" applyBorder="1" applyAlignment="1" applyProtection="1">
      <alignment horizontal="left"/>
    </xf>
    <xf numFmtId="2" fontId="7" fillId="0" borderId="3" xfId="1" applyNumberFormat="1" applyFont="1" applyFill="1" applyBorder="1" applyAlignment="1" applyProtection="1">
      <alignment horizontal="center"/>
    </xf>
    <xf numFmtId="0" fontId="13" fillId="0" borderId="7" xfId="1" applyFont="1" applyBorder="1" applyAlignment="1" applyProtection="1">
      <alignment horizontal="right"/>
    </xf>
    <xf numFmtId="2" fontId="13" fillId="0" borderId="11" xfId="1" applyNumberFormat="1" applyFont="1" applyFill="1" applyBorder="1" applyAlignment="1" applyProtection="1">
      <alignment horizont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2" fontId="7" fillId="0" borderId="4" xfId="1" applyNumberFormat="1" applyFont="1" applyFill="1" applyBorder="1" applyAlignment="1" applyProtection="1">
      <alignment horizontal="center"/>
    </xf>
    <xf numFmtId="2" fontId="13" fillId="0" borderId="22" xfId="1" applyNumberFormat="1" applyFont="1" applyFill="1" applyBorder="1" applyAlignment="1" applyProtection="1">
      <alignment horizontal="center"/>
    </xf>
    <xf numFmtId="0" fontId="13" fillId="2" borderId="5" xfId="1" applyFont="1" applyFill="1" applyBorder="1" applyAlignment="1" applyProtection="1">
      <protection locked="0"/>
    </xf>
    <xf numFmtId="0" fontId="13" fillId="2" borderId="6" xfId="1" applyFont="1" applyFill="1" applyBorder="1" applyAlignment="1" applyProtection="1">
      <protection locked="0"/>
    </xf>
    <xf numFmtId="0" fontId="13" fillId="2" borderId="7" xfId="1" applyFont="1" applyFill="1" applyBorder="1" applyAlignment="1" applyProtection="1"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7" fillId="0" borderId="0" xfId="1" applyFont="1" applyFill="1" applyProtection="1"/>
    <xf numFmtId="49" fontId="7" fillId="0" borderId="5" xfId="1" applyNumberFormat="1" applyFont="1" applyBorder="1" applyAlignment="1" applyProtection="1">
      <alignment horizontal="right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2" fontId="13" fillId="0" borderId="7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right" vertical="top"/>
      <protection locked="0"/>
    </xf>
    <xf numFmtId="2" fontId="13" fillId="8" borderId="11" xfId="1" applyNumberFormat="1" applyFont="1" applyFill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3" xfId="1" applyFont="1" applyBorder="1" applyProtection="1">
      <protection locked="0"/>
    </xf>
    <xf numFmtId="0" fontId="7" fillId="0" borderId="4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3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5" xfId="1" applyFont="1" applyFill="1" applyBorder="1" applyAlignment="1" applyProtection="1">
      <alignment vertical="top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top"/>
      <protection locked="0"/>
    </xf>
    <xf numFmtId="2" fontId="13" fillId="10" borderId="11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Border="1" applyAlignment="1" applyProtection="1">
      <alignment vertical="center"/>
    </xf>
    <xf numFmtId="0" fontId="6" fillId="0" borderId="1" xfId="1" applyFont="1" applyBorder="1" applyAlignment="1" applyProtection="1"/>
    <xf numFmtId="0" fontId="7" fillId="0" borderId="9" xfId="1" applyFont="1" applyBorder="1" applyAlignment="1" applyProtection="1">
      <alignment horizontal="center" vertical="top" wrapText="1"/>
    </xf>
    <xf numFmtId="0" fontId="7" fillId="0" borderId="8" xfId="1" applyNumberFormat="1" applyFont="1" applyBorder="1" applyAlignment="1" applyProtection="1">
      <alignment horizontal="center" vertical="top" wrapText="1"/>
    </xf>
    <xf numFmtId="0" fontId="7" fillId="0" borderId="10" xfId="1" applyNumberFormat="1" applyFont="1" applyBorder="1" applyAlignment="1" applyProtection="1">
      <alignment horizontal="center" vertical="top" wrapText="1"/>
    </xf>
    <xf numFmtId="0" fontId="7" fillId="0" borderId="3" xfId="1" applyFont="1" applyBorder="1" applyProtection="1"/>
    <xf numFmtId="49" fontId="7" fillId="0" borderId="31" xfId="1" applyNumberFormat="1" applyFont="1" applyBorder="1" applyProtection="1"/>
    <xf numFmtId="49" fontId="7" fillId="0" borderId="4" xfId="1" applyNumberFormat="1" applyFont="1" applyBorder="1" applyProtection="1">
      <protection locked="0"/>
    </xf>
    <xf numFmtId="49" fontId="7" fillId="0" borderId="3" xfId="1" applyNumberFormat="1" applyFont="1" applyBorder="1" applyProtection="1">
      <protection locked="0"/>
    </xf>
    <xf numFmtId="49" fontId="7" fillId="0" borderId="2" xfId="1" applyNumberFormat="1" applyFont="1" applyBorder="1" applyProtection="1">
      <protection locked="0"/>
    </xf>
    <xf numFmtId="0" fontId="13" fillId="0" borderId="3" xfId="1" applyNumberFormat="1" applyFont="1" applyBorder="1" applyAlignment="1" applyProtection="1">
      <protection locked="0"/>
    </xf>
    <xf numFmtId="0" fontId="13" fillId="0" borderId="31" xfId="1" applyNumberFormat="1" applyFont="1" applyBorder="1" applyAlignment="1" applyProtection="1">
      <protection locked="0"/>
    </xf>
    <xf numFmtId="0" fontId="7" fillId="0" borderId="18" xfId="1" applyFont="1" applyFill="1" applyBorder="1" applyAlignment="1" applyProtection="1">
      <alignment horizontal="center"/>
    </xf>
    <xf numFmtId="49" fontId="7" fillId="0" borderId="4" xfId="1" applyNumberFormat="1" applyFont="1" applyFill="1" applyBorder="1" applyProtection="1">
      <protection locked="0"/>
    </xf>
    <xf numFmtId="49" fontId="7" fillId="0" borderId="3" xfId="1" applyNumberFormat="1" applyFont="1" applyFill="1" applyBorder="1" applyAlignment="1" applyProtection="1">
      <alignment horizontal="center"/>
      <protection locked="0"/>
    </xf>
    <xf numFmtId="49" fontId="7" fillId="0" borderId="2" xfId="1" applyNumberFormat="1" applyFont="1" applyFill="1" applyBorder="1" applyProtection="1"/>
    <xf numFmtId="49" fontId="7" fillId="0" borderId="3" xfId="1" applyNumberFormat="1" applyFont="1" applyFill="1" applyBorder="1" applyProtection="1"/>
    <xf numFmtId="0" fontId="7" fillId="0" borderId="19" xfId="1" applyFont="1" applyFill="1" applyBorder="1" applyAlignment="1" applyProtection="1">
      <alignment horizontal="center"/>
    </xf>
    <xf numFmtId="0" fontId="7" fillId="0" borderId="28" xfId="1" applyFont="1" applyFill="1" applyBorder="1" applyAlignment="1" applyProtection="1">
      <alignment horizontal="center"/>
    </xf>
    <xf numFmtId="0" fontId="16" fillId="0" borderId="14" xfId="1" applyFont="1" applyBorder="1" applyProtection="1"/>
    <xf numFmtId="0" fontId="7" fillId="0" borderId="15" xfId="1" applyFont="1" applyBorder="1" applyProtection="1"/>
    <xf numFmtId="0" fontId="16" fillId="0" borderId="17" xfId="1" applyFont="1" applyBorder="1" applyProtection="1"/>
    <xf numFmtId="0" fontId="7" fillId="0" borderId="14" xfId="1" applyFont="1" applyFill="1" applyBorder="1" applyAlignment="1" applyProtection="1">
      <alignment horizontal="center"/>
    </xf>
    <xf numFmtId="0" fontId="7" fillId="0" borderId="24" xfId="1" applyFont="1" applyFill="1" applyBorder="1" applyAlignment="1" applyProtection="1">
      <alignment horizontal="center"/>
    </xf>
    <xf numFmtId="0" fontId="46" fillId="0" borderId="0" xfId="1" applyFont="1" applyBorder="1" applyAlignment="1" applyProtection="1">
      <alignment vertical="top"/>
    </xf>
    <xf numFmtId="0" fontId="7" fillId="0" borderId="0" xfId="1" applyFont="1" applyAlignment="1" applyProtection="1">
      <alignment vertical="center"/>
    </xf>
    <xf numFmtId="0" fontId="13" fillId="0" borderId="0" xfId="1" applyFont="1" applyBorder="1" applyAlignment="1" applyProtection="1">
      <alignment horizontal="center" vertical="top" wrapText="1"/>
    </xf>
    <xf numFmtId="0" fontId="13" fillId="0" borderId="4" xfId="1" applyFont="1" applyBorder="1" applyAlignment="1" applyProtection="1">
      <alignment horizontal="center" vertical="top" wrapText="1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vertical="top"/>
    </xf>
    <xf numFmtId="0" fontId="13" fillId="0" borderId="11" xfId="1" applyFont="1" applyBorder="1" applyAlignment="1" applyProtection="1">
      <alignment horizontal="center" vertical="top"/>
    </xf>
    <xf numFmtId="0" fontId="13" fillId="0" borderId="0" xfId="1" applyFont="1" applyBorder="1" applyAlignment="1" applyProtection="1">
      <alignment vertical="top" wrapText="1"/>
    </xf>
    <xf numFmtId="0" fontId="13" fillId="0" borderId="0" xfId="1" applyNumberFormat="1" applyFont="1" applyBorder="1" applyAlignment="1" applyProtection="1">
      <alignment horizontal="center"/>
    </xf>
    <xf numFmtId="0" fontId="7" fillId="0" borderId="15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top" wrapText="1"/>
    </xf>
    <xf numFmtId="0" fontId="7" fillId="0" borderId="17" xfId="1" applyFont="1" applyBorder="1" applyAlignment="1" applyProtection="1">
      <alignment vertical="top" wrapText="1"/>
    </xf>
    <xf numFmtId="0" fontId="7" fillId="0" borderId="27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top" wrapText="1"/>
    </xf>
    <xf numFmtId="0" fontId="7" fillId="0" borderId="30" xfId="1" applyFont="1" applyBorder="1" applyAlignment="1" applyProtection="1">
      <alignment vertical="top" wrapText="1"/>
    </xf>
    <xf numFmtId="0" fontId="7" fillId="0" borderId="11" xfId="1" applyFont="1" applyBorder="1" applyAlignment="1" applyProtection="1">
      <alignment vertical="center"/>
    </xf>
    <xf numFmtId="0" fontId="7" fillId="0" borderId="11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top" wrapText="1"/>
    </xf>
    <xf numFmtId="0" fontId="7" fillId="0" borderId="23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top" wrapText="1"/>
    </xf>
    <xf numFmtId="0" fontId="7" fillId="0" borderId="26" xfId="1" applyFont="1" applyBorder="1" applyAlignment="1" applyProtection="1">
      <alignment vertical="top" wrapText="1"/>
    </xf>
    <xf numFmtId="0" fontId="7" fillId="0" borderId="28" xfId="1" applyFont="1" applyBorder="1" applyAlignment="1" applyProtection="1">
      <alignment vertical="center"/>
    </xf>
    <xf numFmtId="0" fontId="7" fillId="0" borderId="27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 wrapText="1"/>
    </xf>
    <xf numFmtId="2" fontId="48" fillId="0" borderId="0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0" fontId="50" fillId="0" borderId="0" xfId="1" applyFont="1" applyBorder="1" applyAlignment="1" applyProtection="1">
      <alignment horizontal="center" vertical="top" wrapText="1"/>
    </xf>
    <xf numFmtId="0" fontId="51" fillId="0" borderId="0" xfId="1" applyFont="1" applyBorder="1" applyAlignment="1" applyProtection="1">
      <alignment horizontal="right" vertical="center"/>
      <protection locked="0"/>
    </xf>
    <xf numFmtId="0" fontId="52" fillId="0" borderId="0" xfId="1" applyFont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</xf>
    <xf numFmtId="0" fontId="13" fillId="0" borderId="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13" fillId="0" borderId="4" xfId="1" applyFont="1" applyBorder="1" applyProtection="1">
      <protection locked="0"/>
    </xf>
    <xf numFmtId="0" fontId="3" fillId="0" borderId="0" xfId="1" applyFont="1" applyProtection="1">
      <protection locked="0"/>
    </xf>
    <xf numFmtId="0" fontId="7" fillId="0" borderId="12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3" fillId="0" borderId="55" xfId="1" applyFont="1" applyBorder="1" applyProtection="1">
      <protection locked="0"/>
    </xf>
    <xf numFmtId="0" fontId="7" fillId="0" borderId="56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57" xfId="1" applyFont="1" applyBorder="1" applyProtection="1">
      <protection locked="0"/>
    </xf>
    <xf numFmtId="0" fontId="7" fillId="0" borderId="13" xfId="1" applyFont="1" applyBorder="1" applyProtection="1">
      <protection locked="0"/>
    </xf>
    <xf numFmtId="0" fontId="7" fillId="0" borderId="58" xfId="1" applyFont="1" applyBorder="1" applyProtection="1">
      <protection locked="0"/>
    </xf>
    <xf numFmtId="0" fontId="7" fillId="0" borderId="59" xfId="1" applyFont="1" applyBorder="1" applyProtection="1">
      <protection locked="0"/>
    </xf>
    <xf numFmtId="0" fontId="7" fillId="0" borderId="60" xfId="1" applyFont="1" applyBorder="1" applyProtection="1">
      <protection locked="0"/>
    </xf>
    <xf numFmtId="0" fontId="7" fillId="0" borderId="61" xfId="1" applyFont="1" applyBorder="1" applyProtection="1">
      <protection locked="0"/>
    </xf>
    <xf numFmtId="0" fontId="7" fillId="0" borderId="62" xfId="1" applyFont="1" applyBorder="1" applyProtection="1">
      <protection locked="0"/>
    </xf>
    <xf numFmtId="0" fontId="54" fillId="0" borderId="0" xfId="1" applyFont="1" applyBorder="1" applyProtection="1">
      <protection locked="0"/>
    </xf>
    <xf numFmtId="49" fontId="7" fillId="0" borderId="0" xfId="1" applyNumberFormat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protection locked="0"/>
    </xf>
    <xf numFmtId="0" fontId="6" fillId="0" borderId="1" xfId="1" applyFont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13" fillId="0" borderId="4" xfId="1" applyFont="1" applyBorder="1" applyAlignment="1" applyProtection="1">
      <protection locked="0"/>
    </xf>
    <xf numFmtId="0" fontId="13" fillId="0" borderId="31" xfId="1" applyFont="1" applyBorder="1" applyAlignment="1" applyProtection="1">
      <protection locked="0"/>
    </xf>
    <xf numFmtId="0" fontId="13" fillId="0" borderId="3" xfId="1" applyFont="1" applyBorder="1" applyAlignment="1" applyProtection="1">
      <protection locked="0"/>
    </xf>
    <xf numFmtId="0" fontId="7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protection locked="0"/>
    </xf>
    <xf numFmtId="0" fontId="9" fillId="0" borderId="13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right"/>
      <protection locked="0"/>
    </xf>
    <xf numFmtId="0" fontId="9" fillId="0" borderId="13" xfId="1" applyFont="1" applyBorder="1" applyAlignment="1" applyProtection="1">
      <alignment horizontal="left" indent="2"/>
      <protection locked="0"/>
    </xf>
    <xf numFmtId="0" fontId="3" fillId="0" borderId="12" xfId="1" applyFont="1" applyBorder="1" applyProtection="1">
      <protection locked="0"/>
    </xf>
    <xf numFmtId="0" fontId="55" fillId="0" borderId="0" xfId="1" applyFont="1" applyBorder="1" applyAlignment="1" applyProtection="1">
      <alignment horizontal="right"/>
      <protection locked="0"/>
    </xf>
    <xf numFmtId="0" fontId="55" fillId="0" borderId="13" xfId="1" applyFont="1" applyBorder="1" applyAlignment="1" applyProtection="1">
      <protection locked="0"/>
    </xf>
    <xf numFmtId="0" fontId="55" fillId="0" borderId="12" xfId="1" applyFont="1" applyBorder="1" applyAlignment="1" applyProtection="1">
      <protection locked="0"/>
    </xf>
    <xf numFmtId="0" fontId="55" fillId="0" borderId="13" xfId="1" applyFont="1" applyBorder="1" applyAlignment="1" applyProtection="1">
      <alignment horizontal="left" indent="2"/>
      <protection locked="0"/>
    </xf>
    <xf numFmtId="0" fontId="3" fillId="0" borderId="13" xfId="1" applyFont="1" applyBorder="1" applyProtection="1">
      <protection locked="0"/>
    </xf>
    <xf numFmtId="0" fontId="55" fillId="0" borderId="0" xfId="1" applyFont="1" applyBorder="1" applyAlignment="1" applyProtection="1">
      <alignment horizontal="left"/>
      <protection locked="0"/>
    </xf>
    <xf numFmtId="0" fontId="56" fillId="0" borderId="0" xfId="1" applyFont="1" applyBorder="1" applyProtection="1">
      <protection locked="0"/>
    </xf>
    <xf numFmtId="0" fontId="55" fillId="0" borderId="13" xfId="1" applyFont="1" applyBorder="1" applyAlignment="1" applyProtection="1">
      <alignment horizontal="left"/>
      <protection locked="0"/>
    </xf>
    <xf numFmtId="49" fontId="57" fillId="0" borderId="12" xfId="1" applyNumberFormat="1" applyFont="1" applyBorder="1" applyAlignment="1" applyProtection="1">
      <alignment horizontal="center"/>
      <protection locked="0"/>
    </xf>
    <xf numFmtId="49" fontId="58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9" fillId="0" borderId="1" xfId="1" applyFont="1" applyBorder="1" applyAlignment="1" applyProtection="1">
      <alignment horizontal="right"/>
      <protection locked="0"/>
    </xf>
    <xf numFmtId="0" fontId="7" fillId="0" borderId="1" xfId="1" applyFont="1" applyBorder="1" applyProtection="1">
      <protection locked="0"/>
    </xf>
    <xf numFmtId="0" fontId="9" fillId="0" borderId="10" xfId="1" applyFont="1" applyBorder="1" applyAlignment="1" applyProtection="1">
      <alignment horizontal="left" indent="2"/>
      <protection locked="0"/>
    </xf>
    <xf numFmtId="49" fontId="58" fillId="0" borderId="9" xfId="1" applyNumberFormat="1" applyFont="1" applyBorder="1" applyAlignment="1" applyProtection="1">
      <protection locked="0"/>
    </xf>
    <xf numFmtId="49" fontId="58" fillId="0" borderId="1" xfId="1" applyNumberFormat="1" applyFont="1" applyBorder="1" applyAlignment="1" applyProtection="1">
      <protection locked="0"/>
    </xf>
    <xf numFmtId="49" fontId="3" fillId="0" borderId="1" xfId="1" applyNumberFormat="1" applyFont="1" applyBorder="1" applyProtection="1">
      <protection locked="0"/>
    </xf>
    <xf numFmtId="0" fontId="7" fillId="0" borderId="10" xfId="1" applyFont="1" applyBorder="1" applyProtection="1">
      <protection locked="0"/>
    </xf>
    <xf numFmtId="49" fontId="7" fillId="0" borderId="53" xfId="1" applyNumberFormat="1" applyFont="1" applyBorder="1" applyAlignment="1" applyProtection="1">
      <alignment horizontal="center"/>
    </xf>
    <xf numFmtId="49" fontId="0" fillId="0" borderId="0" xfId="0" applyNumberFormat="1"/>
    <xf numFmtId="0" fontId="7" fillId="6" borderId="3" xfId="1" applyFont="1" applyFill="1" applyBorder="1" applyProtection="1"/>
    <xf numFmtId="0" fontId="7" fillId="0" borderId="0" xfId="1" applyFont="1" applyFill="1" applyBorder="1" applyProtection="1"/>
    <xf numFmtId="0" fontId="3" fillId="0" borderId="0" xfId="1" applyFont="1" applyFill="1" applyBorder="1" applyProtection="1"/>
    <xf numFmtId="0" fontId="22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/>
    </xf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 vertical="center" wrapText="1" shrinkToFit="1"/>
      <protection locked="0"/>
    </xf>
    <xf numFmtId="0" fontId="15" fillId="0" borderId="0" xfId="9" applyProtection="1"/>
    <xf numFmtId="0" fontId="60" fillId="0" borderId="0" xfId="9" applyFont="1" applyProtection="1"/>
    <xf numFmtId="0" fontId="15" fillId="0" borderId="0" xfId="9" applyFont="1" applyProtection="1"/>
    <xf numFmtId="0" fontId="60" fillId="0" borderId="0" xfId="9" applyFont="1" applyAlignment="1" applyProtection="1">
      <alignment horizontal="center"/>
    </xf>
    <xf numFmtId="0" fontId="61" fillId="0" borderId="0" xfId="9" applyFont="1" applyFill="1" applyBorder="1" applyAlignment="1" applyProtection="1">
      <alignment horizontal="left" vertical="center"/>
    </xf>
    <xf numFmtId="0" fontId="62" fillId="0" borderId="0" xfId="9" applyFont="1" applyProtection="1"/>
    <xf numFmtId="0" fontId="37" fillId="0" borderId="3" xfId="6" applyFont="1" applyFill="1" applyBorder="1" applyAlignment="1" applyProtection="1">
      <alignment horizontal="center"/>
    </xf>
    <xf numFmtId="0" fontId="37" fillId="0" borderId="4" xfId="6" applyFont="1" applyFill="1" applyBorder="1" applyAlignment="1" applyProtection="1">
      <alignment horizontal="center"/>
    </xf>
    <xf numFmtId="0" fontId="61" fillId="0" borderId="4" xfId="6" applyFont="1" applyFill="1" applyBorder="1" applyAlignment="1" applyProtection="1">
      <alignment horizontal="center"/>
    </xf>
    <xf numFmtId="0" fontId="60" fillId="0" borderId="4" xfId="9" applyFont="1" applyBorder="1" applyAlignment="1" applyProtection="1">
      <alignment horizontal="center"/>
    </xf>
    <xf numFmtId="0" fontId="15" fillId="0" borderId="4" xfId="9" applyFont="1" applyBorder="1" applyProtection="1"/>
    <xf numFmtId="0" fontId="15" fillId="0" borderId="31" xfId="9" applyFont="1" applyBorder="1" applyProtection="1"/>
    <xf numFmtId="0" fontId="15" fillId="0" borderId="12" xfId="3" applyFont="1" applyFill="1" applyBorder="1" applyAlignment="1" applyProtection="1">
      <alignment vertical="center"/>
    </xf>
    <xf numFmtId="0" fontId="37" fillId="0" borderId="0" xfId="3" applyFont="1" applyFill="1" applyBorder="1" applyAlignment="1" applyProtection="1">
      <alignment horizontal="right" vertical="center"/>
    </xf>
    <xf numFmtId="0" fontId="15" fillId="0" borderId="13" xfId="3" applyFont="1" applyFill="1" applyBorder="1" applyAlignment="1" applyProtection="1">
      <alignment vertical="center"/>
    </xf>
    <xf numFmtId="0" fontId="15" fillId="0" borderId="0" xfId="9" applyFont="1" applyAlignment="1" applyProtection="1">
      <alignment vertical="center"/>
    </xf>
    <xf numFmtId="0" fontId="37" fillId="0" borderId="9" xfId="6" applyFont="1" applyFill="1" applyBorder="1" applyAlignment="1" applyProtection="1">
      <alignment horizontal="left" vertical="center"/>
    </xf>
    <xf numFmtId="0" fontId="37" fillId="0" borderId="1" xfId="6" applyFont="1" applyFill="1" applyBorder="1" applyAlignment="1" applyProtection="1">
      <alignment horizontal="center" vertical="center"/>
    </xf>
    <xf numFmtId="0" fontId="61" fillId="0" borderId="1" xfId="6" applyFont="1" applyFill="1" applyBorder="1" applyAlignment="1" applyProtection="1">
      <alignment horizontal="center"/>
    </xf>
    <xf numFmtId="0" fontId="60" fillId="0" borderId="1" xfId="9" applyFont="1" applyBorder="1" applyAlignment="1" applyProtection="1">
      <alignment horizontal="center"/>
    </xf>
    <xf numFmtId="0" fontId="15" fillId="0" borderId="1" xfId="9" applyFont="1" applyBorder="1" applyProtection="1"/>
    <xf numFmtId="0" fontId="15" fillId="0" borderId="10" xfId="9" applyFont="1" applyBorder="1" applyProtection="1"/>
    <xf numFmtId="0" fontId="37" fillId="0" borderId="0" xfId="6" applyFont="1" applyFill="1" applyBorder="1" applyAlignment="1" applyProtection="1">
      <alignment horizontal="left" vertical="center"/>
    </xf>
    <xf numFmtId="0" fontId="37" fillId="0" borderId="0" xfId="6" applyFont="1" applyFill="1" applyBorder="1" applyAlignment="1" applyProtection="1">
      <alignment horizontal="center" vertical="center"/>
    </xf>
    <xf numFmtId="0" fontId="61" fillId="0" borderId="0" xfId="6" applyFont="1" applyFill="1" applyBorder="1" applyAlignment="1" applyProtection="1">
      <alignment horizontal="center"/>
    </xf>
    <xf numFmtId="2" fontId="37" fillId="0" borderId="11" xfId="9" applyNumberFormat="1" applyFont="1" applyFill="1" applyBorder="1" applyAlignment="1" applyProtection="1">
      <alignment horizontal="center" vertical="center"/>
    </xf>
    <xf numFmtId="4" fontId="37" fillId="0" borderId="11" xfId="9" applyNumberFormat="1" applyFont="1" applyFill="1" applyBorder="1" applyAlignment="1" applyProtection="1">
      <alignment horizontal="center" vertical="center"/>
    </xf>
    <xf numFmtId="0" fontId="37" fillId="0" borderId="28" xfId="9" applyFont="1" applyBorder="1" applyAlignment="1" applyProtection="1">
      <alignment horizontal="center" vertical="center"/>
    </xf>
    <xf numFmtId="0" fontId="37" fillId="0" borderId="11" xfId="9" applyFont="1" applyBorder="1" applyAlignment="1" applyProtection="1">
      <alignment horizontal="center" vertical="center"/>
    </xf>
    <xf numFmtId="0" fontId="60" fillId="0" borderId="15" xfId="9" applyFont="1" applyBorder="1" applyAlignment="1" applyProtection="1">
      <alignment horizontal="center" vertical="center"/>
    </xf>
    <xf numFmtId="4" fontId="15" fillId="0" borderId="14" xfId="9" applyNumberFormat="1" applyFont="1" applyBorder="1" applyAlignment="1" applyProtection="1">
      <alignment horizontal="center" vertical="center"/>
    </xf>
    <xf numFmtId="0" fontId="15" fillId="14" borderId="14" xfId="9" applyFill="1" applyBorder="1" applyAlignment="1" applyProtection="1">
      <alignment horizontal="center" vertical="center"/>
    </xf>
    <xf numFmtId="0" fontId="60" fillId="0" borderId="23" xfId="9" applyFont="1" applyBorder="1" applyAlignment="1" applyProtection="1">
      <alignment horizontal="center" vertical="center"/>
    </xf>
    <xf numFmtId="4" fontId="15" fillId="0" borderId="24" xfId="9" applyNumberFormat="1" applyFont="1" applyBorder="1" applyAlignment="1" applyProtection="1">
      <alignment horizontal="center" vertical="center"/>
    </xf>
    <xf numFmtId="0" fontId="15" fillId="14" borderId="24" xfId="9" applyFill="1" applyBorder="1" applyAlignment="1" applyProtection="1">
      <alignment horizontal="center" vertical="center"/>
    </xf>
    <xf numFmtId="0" fontId="60" fillId="0" borderId="27" xfId="9" applyFont="1" applyBorder="1" applyAlignment="1" applyProtection="1">
      <alignment horizontal="center" vertical="center"/>
    </xf>
    <xf numFmtId="4" fontId="15" fillId="0" borderId="28" xfId="9" applyNumberFormat="1" applyFont="1" applyBorder="1" applyAlignment="1" applyProtection="1">
      <alignment horizontal="center" vertical="center"/>
    </xf>
    <xf numFmtId="0" fontId="15" fillId="15" borderId="11" xfId="9" applyFont="1" applyFill="1" applyBorder="1" applyAlignment="1" applyProtection="1">
      <alignment horizontal="center" vertical="center"/>
    </xf>
    <xf numFmtId="0" fontId="15" fillId="0" borderId="0" xfId="9" applyFont="1" applyBorder="1" applyProtection="1"/>
    <xf numFmtId="0" fontId="63" fillId="0" borderId="0" xfId="9" applyFont="1" applyBorder="1" applyProtection="1"/>
    <xf numFmtId="0" fontId="66" fillId="13" borderId="2" xfId="9" applyFont="1" applyFill="1" applyBorder="1" applyAlignment="1" applyProtection="1">
      <alignment horizontal="center"/>
    </xf>
    <xf numFmtId="0" fontId="66" fillId="13" borderId="3" xfId="9" applyFont="1" applyFill="1" applyBorder="1" applyAlignment="1" applyProtection="1">
      <alignment horizontal="center"/>
    </xf>
    <xf numFmtId="0" fontId="37" fillId="0" borderId="12" xfId="9" applyFont="1" applyBorder="1" applyAlignment="1" applyProtection="1">
      <alignment horizontal="center"/>
    </xf>
    <xf numFmtId="0" fontId="66" fillId="13" borderId="22" xfId="9" applyFont="1" applyFill="1" applyBorder="1" applyAlignment="1" applyProtection="1">
      <alignment horizontal="center"/>
    </xf>
    <xf numFmtId="0" fontId="66" fillId="13" borderId="12" xfId="9" applyFont="1" applyFill="1" applyBorder="1" applyAlignment="1" applyProtection="1">
      <alignment horizontal="center"/>
    </xf>
    <xf numFmtId="0" fontId="66" fillId="13" borderId="8" xfId="9" applyFont="1" applyFill="1" applyBorder="1" applyAlignment="1" applyProtection="1">
      <alignment horizontal="center"/>
    </xf>
    <xf numFmtId="0" fontId="37" fillId="13" borderId="9" xfId="9" applyFont="1" applyFill="1" applyBorder="1" applyAlignment="1" applyProtection="1">
      <alignment horizontal="center"/>
    </xf>
    <xf numFmtId="0" fontId="15" fillId="0" borderId="11" xfId="9" applyFont="1" applyBorder="1" applyAlignment="1" applyProtection="1">
      <alignment horizontal="center" vertical="center"/>
    </xf>
    <xf numFmtId="0" fontId="15" fillId="0" borderId="5" xfId="9" applyFont="1" applyBorder="1" applyAlignment="1" applyProtection="1">
      <alignment horizontal="center" vertical="center"/>
    </xf>
    <xf numFmtId="0" fontId="67" fillId="0" borderId="12" xfId="9" applyFont="1" applyBorder="1" applyAlignment="1" applyProtection="1">
      <alignment horizontal="center" vertical="center"/>
    </xf>
    <xf numFmtId="0" fontId="15" fillId="0" borderId="0" xfId="9" applyAlignment="1" applyProtection="1">
      <alignment vertical="center"/>
    </xf>
    <xf numFmtId="0" fontId="67" fillId="0" borderId="0" xfId="9" applyFont="1" applyBorder="1" applyAlignment="1" applyProtection="1">
      <alignment horizontal="center" vertical="center"/>
    </xf>
    <xf numFmtId="0" fontId="63" fillId="0" borderId="0" xfId="9" applyFont="1" applyProtection="1"/>
    <xf numFmtId="0" fontId="37" fillId="13" borderId="68" xfId="9" applyFont="1" applyFill="1" applyBorder="1" applyAlignment="1" applyProtection="1">
      <alignment horizontal="center" wrapText="1"/>
    </xf>
    <xf numFmtId="0" fontId="64" fillId="13" borderId="69" xfId="9" applyFont="1" applyFill="1" applyBorder="1" applyAlignment="1" applyProtection="1">
      <alignment horizontal="center" wrapText="1"/>
    </xf>
    <xf numFmtId="0" fontId="64" fillId="0" borderId="70" xfId="9" applyFont="1" applyFill="1" applyBorder="1" applyAlignment="1" applyProtection="1">
      <alignment horizontal="left" vertical="center"/>
    </xf>
    <xf numFmtId="0" fontId="64" fillId="0" borderId="64" xfId="9" applyFont="1" applyFill="1" applyBorder="1" applyAlignment="1" applyProtection="1">
      <alignment horizontal="center" vertical="center"/>
    </xf>
    <xf numFmtId="0" fontId="37" fillId="0" borderId="64" xfId="9" applyFont="1" applyFill="1" applyBorder="1" applyAlignment="1" applyProtection="1">
      <alignment horizontal="center" wrapText="1"/>
    </xf>
    <xf numFmtId="0" fontId="64" fillId="0" borderId="71" xfId="9" applyFont="1" applyFill="1" applyBorder="1" applyAlignment="1" applyProtection="1">
      <alignment horizontal="center" wrapText="1"/>
    </xf>
    <xf numFmtId="49" fontId="60" fillId="0" borderId="70" xfId="9" applyNumberFormat="1" applyFont="1" applyBorder="1" applyAlignment="1" applyProtection="1">
      <alignment horizontal="right"/>
    </xf>
    <xf numFmtId="0" fontId="60" fillId="0" borderId="64" xfId="9" applyFont="1" applyBorder="1" applyProtection="1"/>
    <xf numFmtId="0" fontId="15" fillId="0" borderId="64" xfId="9" applyFont="1" applyBorder="1" applyProtection="1"/>
    <xf numFmtId="0" fontId="15" fillId="0" borderId="72" xfId="9" applyFont="1" applyBorder="1" applyProtection="1"/>
    <xf numFmtId="4" fontId="15" fillId="0" borderId="73" xfId="9" applyNumberFormat="1" applyFont="1" applyBorder="1" applyAlignment="1" applyProtection="1">
      <alignment horizontal="center"/>
    </xf>
    <xf numFmtId="4" fontId="60" fillId="0" borderId="74" xfId="9" applyNumberFormat="1" applyFont="1" applyBorder="1" applyAlignment="1" applyProtection="1">
      <alignment horizontal="center"/>
    </xf>
    <xf numFmtId="49" fontId="60" fillId="0" borderId="70" xfId="9" applyNumberFormat="1" applyFont="1" applyBorder="1" applyAlignment="1" applyProtection="1">
      <alignment horizontal="right" vertical="center" wrapText="1"/>
    </xf>
    <xf numFmtId="2" fontId="15" fillId="0" borderId="73" xfId="9" applyNumberFormat="1" applyFont="1" applyBorder="1" applyAlignment="1" applyProtection="1">
      <alignment horizontal="center"/>
    </xf>
    <xf numFmtId="2" fontId="60" fillId="0" borderId="74" xfId="9" applyNumberFormat="1" applyFont="1" applyBorder="1" applyAlignment="1" applyProtection="1">
      <alignment horizontal="center"/>
    </xf>
    <xf numFmtId="4" fontId="64" fillId="16" borderId="73" xfId="9" applyNumberFormat="1" applyFont="1" applyFill="1" applyBorder="1" applyAlignment="1" applyProtection="1">
      <alignment horizontal="center"/>
    </xf>
    <xf numFmtId="4" fontId="64" fillId="16" borderId="74" xfId="9" applyNumberFormat="1" applyFont="1" applyFill="1" applyBorder="1" applyAlignment="1" applyProtection="1">
      <alignment horizontal="center"/>
    </xf>
    <xf numFmtId="0" fontId="64" fillId="0" borderId="72" xfId="9" applyFont="1" applyFill="1" applyBorder="1" applyAlignment="1" applyProtection="1">
      <alignment horizontal="center" vertical="center"/>
    </xf>
    <xf numFmtId="0" fontId="37" fillId="13" borderId="75" xfId="9" applyFont="1" applyFill="1" applyBorder="1" applyAlignment="1" applyProtection="1">
      <alignment horizontal="center" vertical="center" wrapText="1"/>
    </xf>
    <xf numFmtId="0" fontId="64" fillId="13" borderId="76" xfId="9" applyFont="1" applyFill="1" applyBorder="1" applyAlignment="1" applyProtection="1">
      <alignment horizontal="center" vertical="center" wrapText="1"/>
    </xf>
    <xf numFmtId="0" fontId="15" fillId="0" borderId="73" xfId="9" applyFont="1" applyBorder="1" applyAlignment="1" applyProtection="1">
      <alignment horizontal="center" vertical="center"/>
    </xf>
    <xf numFmtId="49" fontId="15" fillId="0" borderId="77" xfId="9" applyNumberFormat="1" applyFont="1" applyBorder="1" applyAlignment="1" applyProtection="1">
      <alignment horizontal="right" vertical="top"/>
    </xf>
    <xf numFmtId="49" fontId="15" fillId="0" borderId="79" xfId="9" applyNumberFormat="1" applyFont="1" applyBorder="1" applyAlignment="1" applyProtection="1">
      <alignment horizontal="right" vertical="top"/>
    </xf>
    <xf numFmtId="0" fontId="15" fillId="0" borderId="74" xfId="9" applyFont="1" applyBorder="1" applyAlignment="1" applyProtection="1">
      <alignment horizontal="center" vertical="center"/>
    </xf>
    <xf numFmtId="49" fontId="15" fillId="0" borderId="79" xfId="9" applyNumberFormat="1" applyFont="1" applyBorder="1" applyAlignment="1" applyProtection="1">
      <alignment horizontal="right" vertical="center"/>
    </xf>
    <xf numFmtId="49" fontId="15" fillId="0" borderId="70" xfId="9" applyNumberFormat="1" applyFont="1" applyBorder="1" applyAlignment="1" applyProtection="1">
      <alignment horizontal="right" vertical="center"/>
    </xf>
    <xf numFmtId="0" fontId="15" fillId="0" borderId="64" xfId="9" applyFont="1" applyBorder="1" applyAlignment="1" applyProtection="1"/>
    <xf numFmtId="0" fontId="15" fillId="0" borderId="74" xfId="9" applyFont="1" applyBorder="1" applyAlignment="1" applyProtection="1">
      <alignment horizontal="center"/>
    </xf>
    <xf numFmtId="2" fontId="15" fillId="0" borderId="73" xfId="9" applyNumberFormat="1" applyFont="1" applyBorder="1" applyAlignment="1" applyProtection="1">
      <alignment horizontal="center" vertical="center"/>
    </xf>
    <xf numFmtId="0" fontId="37" fillId="16" borderId="83" xfId="9" applyFont="1" applyFill="1" applyBorder="1" applyAlignment="1" applyProtection="1">
      <alignment horizontal="center"/>
    </xf>
    <xf numFmtId="0" fontId="64" fillId="16" borderId="84" xfId="9" applyFont="1" applyFill="1" applyBorder="1" applyAlignment="1" applyProtection="1">
      <alignment horizontal="center"/>
    </xf>
    <xf numFmtId="0" fontId="15" fillId="0" borderId="0" xfId="9" applyFont="1" applyFill="1" applyProtection="1"/>
    <xf numFmtId="0" fontId="64" fillId="0" borderId="0" xfId="9" applyFont="1" applyFill="1" applyBorder="1" applyAlignment="1" applyProtection="1">
      <alignment horizontal="right"/>
    </xf>
    <xf numFmtId="0" fontId="37" fillId="0" borderId="0" xfId="9" applyFont="1" applyFill="1" applyBorder="1" applyAlignment="1" applyProtection="1">
      <alignment horizontal="center"/>
    </xf>
    <xf numFmtId="0" fontId="64" fillId="0" borderId="0" xfId="9" applyFont="1" applyFill="1" applyBorder="1" applyAlignment="1" applyProtection="1">
      <alignment horizontal="center"/>
    </xf>
    <xf numFmtId="0" fontId="15" fillId="0" borderId="0" xfId="9" applyFill="1" applyProtection="1"/>
    <xf numFmtId="49" fontId="60" fillId="0" borderId="70" xfId="9" applyNumberFormat="1" applyFont="1" applyBorder="1" applyAlignment="1" applyProtection="1">
      <alignment horizontal="right" vertical="top" wrapText="1"/>
    </xf>
    <xf numFmtId="0" fontId="15" fillId="0" borderId="73" xfId="9" applyFont="1" applyBorder="1" applyAlignment="1" applyProtection="1">
      <alignment horizontal="center" vertical="top"/>
    </xf>
    <xf numFmtId="1" fontId="15" fillId="0" borderId="74" xfId="9" applyNumberFormat="1" applyFont="1" applyBorder="1" applyAlignment="1" applyProtection="1">
      <alignment horizontal="center" vertical="top"/>
    </xf>
    <xf numFmtId="0" fontId="15" fillId="0" borderId="73" xfId="9" applyFont="1" applyBorder="1" applyAlignment="1" applyProtection="1">
      <alignment horizontal="center"/>
    </xf>
    <xf numFmtId="1" fontId="15" fillId="0" borderId="74" xfId="9" applyNumberFormat="1" applyFont="1" applyBorder="1" applyAlignment="1" applyProtection="1">
      <alignment horizontal="center"/>
    </xf>
    <xf numFmtId="0" fontId="67" fillId="0" borderId="0" xfId="9" applyFont="1" applyProtection="1"/>
    <xf numFmtId="1" fontId="64" fillId="16" borderId="84" xfId="9" applyNumberFormat="1" applyFont="1" applyFill="1" applyBorder="1" applyAlignment="1" applyProtection="1">
      <alignment horizontal="center"/>
    </xf>
    <xf numFmtId="0" fontId="60" fillId="0" borderId="64" xfId="9" applyFont="1" applyBorder="1" applyAlignment="1" applyProtection="1">
      <alignment horizontal="left" vertical="center"/>
    </xf>
    <xf numFmtId="0" fontId="60" fillId="0" borderId="72" xfId="9" applyFont="1" applyBorder="1" applyAlignment="1" applyProtection="1">
      <alignment horizontal="left" vertical="center"/>
    </xf>
    <xf numFmtId="0" fontId="15" fillId="0" borderId="85" xfId="9" applyFont="1" applyBorder="1" applyAlignment="1" applyProtection="1">
      <alignment horizontal="center" vertical="center"/>
    </xf>
    <xf numFmtId="4" fontId="64" fillId="16" borderId="83" xfId="9" applyNumberFormat="1" applyFont="1" applyFill="1" applyBorder="1" applyAlignment="1" applyProtection="1">
      <alignment horizontal="center"/>
    </xf>
    <xf numFmtId="4" fontId="64" fillId="16" borderId="84" xfId="9" applyNumberFormat="1" applyFont="1" applyFill="1" applyBorder="1" applyAlignment="1" applyProtection="1">
      <alignment horizontal="center"/>
    </xf>
    <xf numFmtId="0" fontId="68" fillId="0" borderId="64" xfId="9" applyFont="1" applyBorder="1" applyAlignment="1" applyProtection="1">
      <alignment horizontal="left" vertical="center"/>
    </xf>
    <xf numFmtId="0" fontId="13" fillId="0" borderId="0" xfId="1" applyFont="1" applyAlignment="1" applyProtection="1">
      <alignment horizontal="left" vertical="top" wrapText="1"/>
    </xf>
    <xf numFmtId="0" fontId="73" fillId="0" borderId="0" xfId="3" applyFont="1" applyProtection="1"/>
    <xf numFmtId="0" fontId="73" fillId="0" borderId="0" xfId="3" applyFont="1" applyAlignment="1" applyProtection="1">
      <alignment horizontal="center"/>
    </xf>
    <xf numFmtId="0" fontId="73" fillId="0" borderId="0" xfId="3" applyFont="1" applyFill="1" applyAlignment="1" applyProtection="1">
      <alignment horizontal="center"/>
    </xf>
    <xf numFmtId="0" fontId="73" fillId="0" borderId="0" xfId="3" applyFont="1" applyFill="1" applyProtection="1"/>
    <xf numFmtId="0" fontId="74" fillId="0" borderId="0" xfId="3" applyFont="1" applyBorder="1" applyProtection="1"/>
    <xf numFmtId="0" fontId="76" fillId="0" borderId="0" xfId="3" applyFont="1" applyProtection="1"/>
    <xf numFmtId="0" fontId="76" fillId="0" borderId="0" xfId="3" applyFont="1" applyAlignment="1" applyProtection="1">
      <alignment horizontal="left"/>
    </xf>
    <xf numFmtId="0" fontId="78" fillId="0" borderId="0" xfId="3" applyFont="1" applyFill="1" applyBorder="1" applyAlignment="1" applyProtection="1">
      <alignment horizontal="left"/>
    </xf>
    <xf numFmtId="0" fontId="37" fillId="0" borderId="0" xfId="3" applyFont="1" applyFill="1" applyBorder="1" applyAlignment="1" applyProtection="1">
      <alignment horizontal="center"/>
    </xf>
    <xf numFmtId="4" fontId="15" fillId="0" borderId="0" xfId="3" applyNumberFormat="1" applyFont="1" applyFill="1" applyBorder="1" applyAlignment="1" applyProtection="1">
      <alignment horizontal="center" vertical="center"/>
    </xf>
    <xf numFmtId="0" fontId="73" fillId="0" borderId="0" xfId="3" applyFont="1" applyBorder="1" applyProtection="1"/>
    <xf numFmtId="0" fontId="79" fillId="0" borderId="0" xfId="3" applyFont="1" applyBorder="1" applyProtection="1"/>
    <xf numFmtId="0" fontId="73" fillId="0" borderId="0" xfId="3" applyFont="1" applyBorder="1" applyAlignment="1" applyProtection="1">
      <alignment horizontal="center"/>
    </xf>
    <xf numFmtId="0" fontId="73" fillId="0" borderId="0" xfId="3" applyFont="1" applyFill="1" applyBorder="1" applyProtection="1"/>
    <xf numFmtId="0" fontId="77" fillId="0" borderId="86" xfId="3" applyFont="1" applyBorder="1" applyAlignment="1" applyProtection="1">
      <alignment horizontal="center" vertical="center"/>
    </xf>
    <xf numFmtId="0" fontId="77" fillId="0" borderId="68" xfId="3" applyFont="1" applyBorder="1" applyAlignment="1" applyProtection="1">
      <alignment horizontal="center" vertical="center" wrapText="1"/>
    </xf>
    <xf numFmtId="0" fontId="77" fillId="0" borderId="69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vertical="top" wrapText="1"/>
    </xf>
    <xf numFmtId="0" fontId="73" fillId="0" borderId="0" xfId="3" applyFont="1" applyFill="1" applyBorder="1" applyAlignment="1" applyProtection="1">
      <alignment horizontal="center" vertical="center"/>
    </xf>
    <xf numFmtId="0" fontId="73" fillId="0" borderId="0" xfId="3" applyFont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85" xfId="3" applyFont="1" applyBorder="1" applyAlignment="1" applyProtection="1">
      <alignment horizontal="left" vertical="top" wrapText="1"/>
    </xf>
    <xf numFmtId="0" fontId="15" fillId="0" borderId="89" xfId="3" applyFont="1" applyFill="1" applyBorder="1" applyAlignment="1" applyProtection="1">
      <alignment horizontal="center" vertical="center"/>
    </xf>
    <xf numFmtId="0" fontId="15" fillId="0" borderId="85" xfId="3" applyFont="1" applyFill="1" applyBorder="1" applyAlignment="1" applyProtection="1">
      <alignment horizontal="center" vertical="center" wrapText="1"/>
    </xf>
    <xf numFmtId="0" fontId="15" fillId="0" borderId="78" xfId="3" applyFont="1" applyFill="1" applyBorder="1" applyAlignment="1" applyProtection="1">
      <alignment horizontal="center" vertical="center" wrapText="1"/>
    </xf>
    <xf numFmtId="0" fontId="77" fillId="0" borderId="11" xfId="3" applyFont="1" applyBorder="1" applyAlignment="1" applyProtection="1">
      <alignment horizontal="center" vertical="center" wrapText="1"/>
    </xf>
    <xf numFmtId="0" fontId="79" fillId="0" borderId="0" xfId="3" applyFont="1" applyBorder="1" applyAlignment="1" applyProtection="1">
      <alignment horizontal="center"/>
    </xf>
    <xf numFmtId="0" fontId="73" fillId="0" borderId="0" xfId="3" applyFont="1" applyAlignment="1" applyProtection="1">
      <alignment vertical="center"/>
    </xf>
    <xf numFmtId="0" fontId="79" fillId="17" borderId="5" xfId="3" applyFont="1" applyFill="1" applyBorder="1" applyAlignment="1" applyProtection="1">
      <alignment horizontal="center" vertical="center"/>
    </xf>
    <xf numFmtId="0" fontId="79" fillId="17" borderId="6" xfId="3" applyFont="1" applyFill="1" applyBorder="1" applyAlignment="1" applyProtection="1">
      <alignment horizontal="left" vertical="center"/>
    </xf>
    <xf numFmtId="0" fontId="73" fillId="17" borderId="6" xfId="3" applyFont="1" applyFill="1" applyBorder="1" applyAlignment="1" applyProtection="1">
      <alignment vertical="center"/>
    </xf>
    <xf numFmtId="0" fontId="73" fillId="17" borderId="6" xfId="3" applyFont="1" applyFill="1" applyBorder="1" applyAlignment="1" applyProtection="1">
      <alignment horizontal="center" vertical="center"/>
    </xf>
    <xf numFmtId="0" fontId="73" fillId="17" borderId="6" xfId="3" applyFont="1" applyFill="1" applyBorder="1" applyAlignment="1" applyProtection="1">
      <alignment horizontal="center" vertical="center" wrapText="1"/>
    </xf>
    <xf numFmtId="0" fontId="73" fillId="17" borderId="7" xfId="3" applyFont="1" applyFill="1" applyBorder="1" applyAlignment="1" applyProtection="1">
      <alignment horizontal="center" vertical="center" wrapText="1"/>
    </xf>
    <xf numFmtId="0" fontId="81" fillId="0" borderId="0" xfId="3" applyFont="1" applyFill="1" applyBorder="1" applyAlignment="1" applyProtection="1">
      <alignment horizontal="center" vertical="center" wrapText="1"/>
    </xf>
    <xf numFmtId="0" fontId="73" fillId="0" borderId="0" xfId="3" applyFont="1" applyAlignment="1" applyProtection="1">
      <alignment horizontal="center" vertical="center"/>
    </xf>
    <xf numFmtId="0" fontId="77" fillId="4" borderId="5" xfId="3" applyFont="1" applyFill="1" applyBorder="1" applyAlignment="1" applyProtection="1">
      <alignment horizontal="right" vertical="center"/>
    </xf>
    <xf numFmtId="0" fontId="77" fillId="4" borderId="6" xfId="3" applyFont="1" applyFill="1" applyBorder="1" applyAlignment="1" applyProtection="1">
      <alignment horizontal="left" vertical="center"/>
    </xf>
    <xf numFmtId="0" fontId="73" fillId="4" borderId="6" xfId="3" applyFont="1" applyFill="1" applyBorder="1" applyAlignment="1" applyProtection="1">
      <alignment vertical="center"/>
    </xf>
    <xf numFmtId="0" fontId="73" fillId="4" borderId="6" xfId="3" applyFont="1" applyFill="1" applyBorder="1" applyAlignment="1" applyProtection="1">
      <alignment horizontal="center" vertical="center"/>
    </xf>
    <xf numFmtId="0" fontId="73" fillId="4" borderId="6" xfId="3" applyFont="1" applyFill="1" applyBorder="1" applyAlignment="1" applyProtection="1">
      <alignment horizontal="center" vertical="center" wrapText="1"/>
    </xf>
    <xf numFmtId="0" fontId="73" fillId="4" borderId="7" xfId="3" applyFont="1" applyFill="1" applyBorder="1" applyAlignment="1" applyProtection="1">
      <alignment horizontal="center" vertical="center" wrapText="1"/>
    </xf>
    <xf numFmtId="0" fontId="77" fillId="0" borderId="0" xfId="3" applyFont="1" applyFill="1" applyBorder="1" applyAlignment="1" applyProtection="1">
      <alignment horizontal="center" vertical="center" wrapText="1"/>
    </xf>
    <xf numFmtId="0" fontId="77" fillId="0" borderId="12" xfId="3" applyFont="1" applyBorder="1" applyAlignment="1" applyProtection="1">
      <alignment horizontal="left" vertical="center"/>
    </xf>
    <xf numFmtId="0" fontId="82" fillId="0" borderId="4" xfId="3" applyFont="1" applyBorder="1" applyAlignment="1" applyProtection="1">
      <alignment horizontal="left" vertical="center"/>
    </xf>
    <xf numFmtId="0" fontId="73" fillId="0" borderId="0" xfId="3" applyFont="1" applyBorder="1" applyAlignment="1" applyProtection="1">
      <alignment vertical="center"/>
    </xf>
    <xf numFmtId="0" fontId="73" fillId="0" borderId="4" xfId="3" applyFont="1" applyBorder="1" applyAlignment="1" applyProtection="1">
      <alignment horizontal="center" vertical="center"/>
    </xf>
    <xf numFmtId="0" fontId="72" fillId="0" borderId="4" xfId="3" applyFont="1" applyBorder="1" applyAlignment="1" applyProtection="1">
      <alignment horizontal="left" vertical="center"/>
    </xf>
    <xf numFmtId="0" fontId="73" fillId="0" borderId="4" xfId="3" applyFont="1" applyBorder="1" applyAlignment="1" applyProtection="1">
      <alignment horizontal="center" vertical="center" wrapText="1"/>
    </xf>
    <xf numFmtId="0" fontId="77" fillId="0" borderId="92" xfId="3" applyFont="1" applyBorder="1" applyAlignment="1" applyProtection="1">
      <alignment horizontal="center" vertical="center" wrapText="1"/>
    </xf>
    <xf numFmtId="0" fontId="77" fillId="0" borderId="0" xfId="3" applyFont="1" applyFill="1" applyBorder="1" applyAlignment="1" applyProtection="1">
      <alignment horizontal="center" vertical="center"/>
    </xf>
    <xf numFmtId="0" fontId="37" fillId="13" borderId="89" xfId="3" applyFont="1" applyFill="1" applyBorder="1" applyAlignment="1" applyProtection="1">
      <alignment horizontal="center"/>
    </xf>
    <xf numFmtId="0" fontId="37" fillId="13" borderId="85" xfId="3" applyFont="1" applyFill="1" applyBorder="1" applyAlignment="1" applyProtection="1">
      <alignment horizontal="center"/>
    </xf>
    <xf numFmtId="0" fontId="66" fillId="13" borderId="85" xfId="3" applyFont="1" applyFill="1" applyBorder="1" applyAlignment="1" applyProtection="1">
      <alignment horizontal="center"/>
    </xf>
    <xf numFmtId="0" fontId="83" fillId="13" borderId="85" xfId="3" applyFont="1" applyFill="1" applyBorder="1" applyAlignment="1" applyProtection="1">
      <alignment horizontal="center"/>
    </xf>
    <xf numFmtId="0" fontId="84" fillId="13" borderId="85" xfId="3" applyFont="1" applyFill="1" applyBorder="1" applyAlignment="1" applyProtection="1">
      <alignment horizontal="center"/>
    </xf>
    <xf numFmtId="0" fontId="61" fillId="13" borderId="85" xfId="3" applyFont="1" applyFill="1" applyBorder="1" applyAlignment="1" applyProtection="1">
      <alignment horizontal="center" vertical="center" wrapText="1"/>
    </xf>
    <xf numFmtId="0" fontId="61" fillId="13" borderId="88" xfId="3" applyFont="1" applyFill="1" applyBorder="1" applyAlignment="1" applyProtection="1">
      <alignment horizontal="center" vertical="center" wrapText="1"/>
    </xf>
    <xf numFmtId="49" fontId="37" fillId="0" borderId="0" xfId="3" applyNumberFormat="1" applyFont="1" applyFill="1" applyBorder="1" applyAlignment="1" applyProtection="1">
      <alignment horizontal="center" vertical="center"/>
    </xf>
    <xf numFmtId="0" fontId="37" fillId="13" borderId="93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/>
    </xf>
    <xf numFmtId="0" fontId="66" fillId="13" borderId="94" xfId="3" applyFont="1" applyFill="1" applyBorder="1" applyAlignment="1" applyProtection="1">
      <alignment horizontal="center"/>
    </xf>
    <xf numFmtId="0" fontId="83" fillId="13" borderId="94" xfId="3" applyFont="1" applyFill="1" applyBorder="1" applyAlignment="1" applyProtection="1">
      <alignment horizontal="center"/>
    </xf>
    <xf numFmtId="0" fontId="84" fillId="13" borderId="94" xfId="3" applyFont="1" applyFill="1" applyBorder="1" applyAlignment="1" applyProtection="1">
      <alignment horizontal="center"/>
    </xf>
    <xf numFmtId="0" fontId="61" fillId="13" borderId="94" xfId="3" applyFont="1" applyFill="1" applyBorder="1" applyAlignment="1" applyProtection="1">
      <alignment horizontal="center" vertical="center" wrapText="1"/>
    </xf>
    <xf numFmtId="49" fontId="66" fillId="0" borderId="0" xfId="3" applyNumberFormat="1" applyFont="1" applyFill="1" applyBorder="1" applyAlignment="1" applyProtection="1">
      <alignment horizontal="center" vertical="center"/>
    </xf>
    <xf numFmtId="0" fontId="15" fillId="13" borderId="90" xfId="3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/>
    </xf>
    <xf numFmtId="0" fontId="66" fillId="13" borderId="75" xfId="3" applyFont="1" applyFill="1" applyBorder="1" applyAlignment="1" applyProtection="1">
      <alignment horizontal="center" vertical="center" wrapText="1"/>
    </xf>
    <xf numFmtId="0" fontId="83" fillId="13" borderId="75" xfId="3" applyFont="1" applyFill="1" applyBorder="1" applyAlignment="1" applyProtection="1">
      <alignment horizontal="center" vertical="center" wrapText="1"/>
    </xf>
    <xf numFmtId="0" fontId="84" fillId="13" borderId="75" xfId="3" applyFont="1" applyFill="1" applyBorder="1" applyAlignment="1" applyProtection="1">
      <alignment horizontal="center" vertical="center" wrapText="1"/>
    </xf>
    <xf numFmtId="0" fontId="61" fillId="13" borderId="75" xfId="3" applyFont="1" applyFill="1" applyBorder="1" applyAlignment="1" applyProtection="1">
      <alignment horizontal="center" vertical="center" wrapText="1"/>
    </xf>
    <xf numFmtId="0" fontId="61" fillId="13" borderId="76" xfId="3" applyFont="1" applyFill="1" applyBorder="1" applyAlignment="1" applyProtection="1">
      <alignment horizontal="center" vertical="center" wrapText="1"/>
    </xf>
    <xf numFmtId="0" fontId="66" fillId="0" borderId="0" xfId="3" applyFont="1" applyFill="1" applyBorder="1" applyAlignment="1" applyProtection="1">
      <alignment horizontal="center"/>
    </xf>
    <xf numFmtId="0" fontId="85" fillId="0" borderId="0" xfId="3" applyFont="1" applyProtection="1"/>
    <xf numFmtId="0" fontId="86" fillId="3" borderId="87" xfId="3" applyFont="1" applyFill="1" applyBorder="1" applyAlignment="1" applyProtection="1">
      <alignment horizontal="center" vertical="center"/>
    </xf>
    <xf numFmtId="0" fontId="87" fillId="3" borderId="73" xfId="3" applyFont="1" applyFill="1" applyBorder="1" applyAlignment="1" applyProtection="1">
      <alignment horizontal="center"/>
    </xf>
    <xf numFmtId="0" fontId="87" fillId="3" borderId="73" xfId="3" applyFont="1" applyFill="1" applyBorder="1" applyAlignment="1" applyProtection="1">
      <alignment horizontal="center" vertical="center" wrapText="1"/>
    </xf>
    <xf numFmtId="0" fontId="85" fillId="0" borderId="0" xfId="3" applyFont="1" applyFill="1" applyBorder="1" applyAlignment="1" applyProtection="1">
      <alignment horizontal="center"/>
    </xf>
    <xf numFmtId="0" fontId="87" fillId="0" borderId="0" xfId="3" applyFont="1" applyProtection="1"/>
    <xf numFmtId="0" fontId="87" fillId="0" borderId="0" xfId="3" applyFont="1" applyAlignment="1" applyProtection="1">
      <alignment horizontal="center"/>
    </xf>
    <xf numFmtId="0" fontId="15" fillId="0" borderId="0" xfId="3" applyFont="1" applyProtection="1"/>
    <xf numFmtId="0" fontId="15" fillId="18" borderId="90" xfId="3" applyFont="1" applyFill="1" applyBorder="1" applyProtection="1"/>
    <xf numFmtId="0" fontId="15" fillId="0" borderId="75" xfId="3" applyFont="1" applyBorder="1" applyAlignment="1" applyProtection="1">
      <alignment horizontal="center"/>
      <protection locked="0"/>
    </xf>
    <xf numFmtId="0" fontId="89" fillId="18" borderId="75" xfId="3" applyFont="1" applyFill="1" applyBorder="1" applyAlignment="1" applyProtection="1">
      <alignment horizontal="center"/>
    </xf>
    <xf numFmtId="2" fontId="90" fillId="18" borderId="73" xfId="3" applyNumberFormat="1" applyFont="1" applyFill="1" applyBorder="1" applyAlignment="1" applyProtection="1">
      <alignment horizontal="center"/>
    </xf>
    <xf numFmtId="4" fontId="90" fillId="18" borderId="73" xfId="3" applyNumberFormat="1" applyFont="1" applyFill="1" applyBorder="1" applyAlignment="1" applyProtection="1">
      <alignment horizontal="center"/>
    </xf>
    <xf numFmtId="4" fontId="91" fillId="18" borderId="76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Protection="1"/>
    <xf numFmtId="0" fontId="92" fillId="0" borderId="0" xfId="3" applyFont="1" applyProtection="1"/>
    <xf numFmtId="0" fontId="92" fillId="0" borderId="0" xfId="3" applyFont="1" applyAlignment="1" applyProtection="1">
      <alignment horizontal="center"/>
    </xf>
    <xf numFmtId="0" fontId="15" fillId="18" borderId="87" xfId="3" applyFont="1" applyFill="1" applyBorder="1" applyProtection="1"/>
    <xf numFmtId="0" fontId="15" fillId="0" borderId="73" xfId="3" applyFont="1" applyBorder="1" applyAlignment="1" applyProtection="1">
      <alignment horizontal="center"/>
      <protection locked="0"/>
    </xf>
    <xf numFmtId="4" fontId="91" fillId="18" borderId="74" xfId="3" applyNumberFormat="1" applyFont="1" applyFill="1" applyBorder="1" applyAlignment="1" applyProtection="1">
      <alignment horizontal="center"/>
    </xf>
    <xf numFmtId="16" fontId="15" fillId="0" borderId="0" xfId="3" applyNumberFormat="1" applyFont="1" applyFill="1" applyBorder="1" applyProtection="1"/>
    <xf numFmtId="0" fontId="15" fillId="13" borderId="79" xfId="3" applyFont="1" applyFill="1" applyBorder="1" applyAlignment="1" applyProtection="1">
      <alignment vertical="center"/>
    </xf>
    <xf numFmtId="0" fontId="93" fillId="13" borderId="63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horizontal="right" vertical="center"/>
    </xf>
    <xf numFmtId="0" fontId="37" fillId="13" borderId="63" xfId="3" applyFont="1" applyFill="1" applyBorder="1" applyAlignment="1" applyProtection="1">
      <alignment horizontal="center" vertical="center"/>
    </xf>
    <xf numFmtId="0" fontId="15" fillId="13" borderId="1" xfId="3" applyFont="1" applyFill="1" applyBorder="1" applyAlignment="1" applyProtection="1">
      <alignment horizontal="center" vertical="center"/>
    </xf>
    <xf numFmtId="0" fontId="72" fillId="13" borderId="1" xfId="3" applyFont="1" applyFill="1" applyBorder="1" applyAlignment="1" applyProtection="1">
      <alignment horizontal="center" vertical="center"/>
    </xf>
    <xf numFmtId="0" fontId="15" fillId="13" borderId="63" xfId="3" applyFont="1" applyFill="1" applyBorder="1" applyAlignment="1" applyProtection="1">
      <alignment horizontal="center" vertical="center"/>
    </xf>
    <xf numFmtId="2" fontId="77" fillId="13" borderId="95" xfId="3" applyNumberFormat="1" applyFont="1" applyFill="1" applyBorder="1" applyAlignment="1" applyProtection="1">
      <alignment horizontal="right" vertical="center"/>
    </xf>
    <xf numFmtId="4" fontId="94" fillId="13" borderId="75" xfId="3" applyNumberFormat="1" applyFont="1" applyFill="1" applyBorder="1" applyAlignment="1" applyProtection="1">
      <alignment vertical="center"/>
    </xf>
    <xf numFmtId="4" fontId="94" fillId="13" borderId="76" xfId="3" applyNumberFormat="1" applyFont="1" applyFill="1" applyBorder="1" applyAlignment="1" applyProtection="1">
      <alignment vertical="center"/>
    </xf>
    <xf numFmtId="1" fontId="15" fillId="0" borderId="0" xfId="3" applyNumberFormat="1" applyFont="1" applyFill="1" applyBorder="1" applyAlignment="1" applyProtection="1">
      <alignment horizontal="center" vertical="center"/>
    </xf>
    <xf numFmtId="0" fontId="15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center" vertical="center"/>
    </xf>
    <xf numFmtId="0" fontId="73" fillId="0" borderId="65" xfId="3" applyFont="1" applyBorder="1" applyAlignment="1" applyProtection="1">
      <alignment vertical="center"/>
    </xf>
    <xf numFmtId="0" fontId="82" fillId="0" borderId="66" xfId="3" applyFont="1" applyBorder="1" applyAlignment="1" applyProtection="1">
      <alignment horizontal="left" vertical="center"/>
    </xf>
    <xf numFmtId="0" fontId="73" fillId="0" borderId="66" xfId="3" applyFont="1" applyBorder="1" applyAlignment="1" applyProtection="1">
      <alignment vertical="center"/>
    </xf>
    <xf numFmtId="0" fontId="73" fillId="0" borderId="66" xfId="3" applyFont="1" applyBorder="1" applyAlignment="1" applyProtection="1">
      <alignment horizontal="center" vertical="center"/>
    </xf>
    <xf numFmtId="0" fontId="95" fillId="0" borderId="66" xfId="3" applyFont="1" applyBorder="1" applyAlignment="1" applyProtection="1">
      <alignment horizontal="center" vertical="center" wrapText="1"/>
    </xf>
    <xf numFmtId="2" fontId="91" fillId="0" borderId="66" xfId="3" applyNumberFormat="1" applyFont="1" applyBorder="1" applyAlignment="1" applyProtection="1">
      <alignment horizontal="center" vertical="center"/>
    </xf>
    <xf numFmtId="0" fontId="96" fillId="0" borderId="92" xfId="3" applyFont="1" applyBorder="1" applyAlignment="1" applyProtection="1">
      <alignment horizontal="center" vertical="center" wrapText="1"/>
    </xf>
    <xf numFmtId="0" fontId="15" fillId="13" borderId="93" xfId="3" applyFont="1" applyFill="1" applyBorder="1" applyAlignment="1" applyProtection="1">
      <alignment horizontal="center" vertical="center"/>
    </xf>
    <xf numFmtId="0" fontId="61" fillId="13" borderId="94" xfId="3" applyFont="1" applyFill="1" applyBorder="1" applyAlignment="1" applyProtection="1">
      <alignment horizontal="center"/>
    </xf>
    <xf numFmtId="0" fontId="66" fillId="13" borderId="94" xfId="3" applyFont="1" applyFill="1" applyBorder="1" applyAlignment="1" applyProtection="1">
      <alignment horizontal="center" vertical="center" wrapText="1"/>
    </xf>
    <xf numFmtId="0" fontId="84" fillId="13" borderId="94" xfId="3" applyFont="1" applyFill="1" applyBorder="1" applyAlignment="1" applyProtection="1">
      <alignment horizontal="center" vertical="center" wrapText="1"/>
    </xf>
    <xf numFmtId="0" fontId="61" fillId="13" borderId="75" xfId="3" applyFont="1" applyFill="1" applyBorder="1" applyAlignment="1" applyProtection="1">
      <alignment horizontal="center"/>
    </xf>
    <xf numFmtId="0" fontId="15" fillId="13" borderId="63" xfId="3" applyFont="1" applyFill="1" applyBorder="1" applyAlignment="1" applyProtection="1">
      <alignment horizontal="center"/>
    </xf>
    <xf numFmtId="0" fontId="87" fillId="3" borderId="73" xfId="3" applyFont="1" applyFill="1" applyBorder="1" applyAlignment="1" applyProtection="1">
      <alignment horizontal="center" vertical="center"/>
    </xf>
    <xf numFmtId="2" fontId="87" fillId="3" borderId="73" xfId="3" applyNumberFormat="1" applyFont="1" applyFill="1" applyBorder="1" applyAlignment="1" applyProtection="1">
      <alignment horizontal="center"/>
    </xf>
    <xf numFmtId="2" fontId="87" fillId="3" borderId="74" xfId="3" applyNumberFormat="1" applyFont="1" applyFill="1" applyBorder="1" applyAlignment="1" applyProtection="1">
      <alignment horizontal="center"/>
    </xf>
    <xf numFmtId="0" fontId="89" fillId="18" borderId="73" xfId="3" applyFont="1" applyFill="1" applyBorder="1" applyAlignment="1" applyProtection="1">
      <alignment horizontal="center"/>
    </xf>
    <xf numFmtId="2" fontId="91" fillId="18" borderId="74" xfId="3" applyNumberFormat="1" applyFont="1" applyFill="1" applyBorder="1" applyAlignment="1" applyProtection="1">
      <alignment horizontal="center"/>
    </xf>
    <xf numFmtId="0" fontId="15" fillId="13" borderId="80" xfId="3" applyFont="1" applyFill="1" applyBorder="1" applyAlignment="1" applyProtection="1">
      <alignment vertical="center"/>
    </xf>
    <xf numFmtId="0" fontId="93" fillId="13" borderId="81" xfId="3" applyFont="1" applyFill="1" applyBorder="1" applyAlignment="1" applyProtection="1">
      <alignment vertical="center"/>
    </xf>
    <xf numFmtId="0" fontId="37" fillId="13" borderId="81" xfId="3" applyFont="1" applyFill="1" applyBorder="1" applyAlignment="1" applyProtection="1">
      <alignment horizontal="right" vertical="center"/>
    </xf>
    <xf numFmtId="0" fontId="37" fillId="13" borderId="81" xfId="3" applyFont="1" applyFill="1" applyBorder="1" applyAlignment="1" applyProtection="1">
      <alignment horizontal="center" vertical="center"/>
    </xf>
    <xf numFmtId="0" fontId="15" fillId="13" borderId="81" xfId="3" applyFont="1" applyFill="1" applyBorder="1" applyAlignment="1" applyProtection="1">
      <alignment horizontal="center" vertical="center"/>
    </xf>
    <xf numFmtId="0" fontId="72" fillId="13" borderId="81" xfId="3" applyFont="1" applyFill="1" applyBorder="1" applyAlignment="1" applyProtection="1">
      <alignment horizontal="center" vertical="center"/>
    </xf>
    <xf numFmtId="2" fontId="77" fillId="13" borderId="82" xfId="3" applyNumberFormat="1" applyFont="1" applyFill="1" applyBorder="1" applyAlignment="1" applyProtection="1">
      <alignment horizontal="right" vertical="center"/>
    </xf>
    <xf numFmtId="2" fontId="94" fillId="13" borderId="83" xfId="3" applyNumberFormat="1" applyFont="1" applyFill="1" applyBorder="1" applyAlignment="1" applyProtection="1">
      <alignment vertical="center"/>
    </xf>
    <xf numFmtId="2" fontId="94" fillId="13" borderId="84" xfId="3" applyNumberFormat="1" applyFont="1" applyFill="1" applyBorder="1" applyAlignment="1" applyProtection="1">
      <alignment vertical="center"/>
    </xf>
    <xf numFmtId="0" fontId="15" fillId="0" borderId="0" xfId="3" applyFont="1" applyAlignment="1" applyProtection="1">
      <alignment horizontal="center"/>
    </xf>
    <xf numFmtId="0" fontId="73" fillId="0" borderId="3" xfId="3" applyFont="1" applyBorder="1" applyAlignment="1" applyProtection="1">
      <alignment vertical="center"/>
    </xf>
    <xf numFmtId="0" fontId="73" fillId="0" borderId="4" xfId="3" applyFont="1" applyBorder="1" applyAlignment="1" applyProtection="1">
      <alignment vertical="center"/>
    </xf>
    <xf numFmtId="0" fontId="95" fillId="0" borderId="4" xfId="3" applyFont="1" applyBorder="1" applyAlignment="1" applyProtection="1">
      <alignment horizontal="center" vertical="center" wrapText="1"/>
    </xf>
    <xf numFmtId="0" fontId="73" fillId="0" borderId="3" xfId="3" applyFont="1" applyBorder="1" applyAlignment="1" applyProtection="1">
      <alignment horizontal="center" vertical="center"/>
    </xf>
    <xf numFmtId="2" fontId="91" fillId="0" borderId="4" xfId="3" applyNumberFormat="1" applyFont="1" applyBorder="1" applyAlignment="1" applyProtection="1">
      <alignment horizontal="center" vertical="center"/>
    </xf>
    <xf numFmtId="0" fontId="90" fillId="18" borderId="73" xfId="3" applyFont="1" applyFill="1" applyBorder="1" applyAlignment="1" applyProtection="1">
      <alignment horizontal="center"/>
    </xf>
    <xf numFmtId="0" fontId="73" fillId="13" borderId="70" xfId="3" applyFont="1" applyFill="1" applyBorder="1" applyAlignment="1" applyProtection="1">
      <alignment vertical="center"/>
    </xf>
    <xf numFmtId="0" fontId="97" fillId="13" borderId="64" xfId="3" applyFont="1" applyFill="1" applyBorder="1" applyAlignment="1" applyProtection="1">
      <alignment vertical="center"/>
    </xf>
    <xf numFmtId="0" fontId="77" fillId="13" borderId="64" xfId="3" applyFont="1" applyFill="1" applyBorder="1" applyAlignment="1" applyProtection="1">
      <alignment horizontal="right" vertical="center"/>
    </xf>
    <xf numFmtId="0" fontId="77" fillId="13" borderId="64" xfId="3" applyFont="1" applyFill="1" applyBorder="1" applyAlignment="1" applyProtection="1">
      <alignment horizontal="center" vertical="center"/>
    </xf>
    <xf numFmtId="0" fontId="73" fillId="13" borderId="64" xfId="3" applyFont="1" applyFill="1" applyBorder="1" applyAlignment="1" applyProtection="1">
      <alignment horizontal="center" vertical="center"/>
    </xf>
    <xf numFmtId="2" fontId="77" fillId="13" borderId="72" xfId="3" applyNumberFormat="1" applyFont="1" applyFill="1" applyBorder="1" applyAlignment="1" applyProtection="1">
      <alignment horizontal="right" vertical="center"/>
    </xf>
    <xf numFmtId="2" fontId="94" fillId="13" borderId="73" xfId="3" applyNumberFormat="1" applyFont="1" applyFill="1" applyBorder="1" applyAlignment="1" applyProtection="1">
      <alignment vertical="center"/>
    </xf>
    <xf numFmtId="2" fontId="94" fillId="13" borderId="74" xfId="3" applyNumberFormat="1" applyFont="1" applyFill="1" applyBorder="1" applyAlignment="1" applyProtection="1">
      <alignment vertical="center"/>
    </xf>
    <xf numFmtId="1" fontId="73" fillId="0" borderId="0" xfId="3" applyNumberFormat="1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 vertical="center" wrapText="1"/>
    </xf>
    <xf numFmtId="0" fontId="98" fillId="3" borderId="73" xfId="3" applyFont="1" applyFill="1" applyBorder="1" applyAlignment="1" applyProtection="1">
      <alignment horizontal="center" vertical="center" wrapText="1"/>
    </xf>
    <xf numFmtId="0" fontId="73" fillId="13" borderId="80" xfId="3" applyFont="1" applyFill="1" applyBorder="1" applyAlignment="1" applyProtection="1">
      <alignment vertical="center"/>
    </xf>
    <xf numFmtId="0" fontId="97" fillId="13" borderId="81" xfId="3" applyFont="1" applyFill="1" applyBorder="1" applyAlignment="1" applyProtection="1">
      <alignment vertical="center"/>
    </xf>
    <xf numFmtId="0" fontId="77" fillId="13" borderId="81" xfId="3" applyFont="1" applyFill="1" applyBorder="1" applyAlignment="1" applyProtection="1">
      <alignment horizontal="right" vertical="center"/>
    </xf>
    <xf numFmtId="0" fontId="77" fillId="13" borderId="81" xfId="3" applyFont="1" applyFill="1" applyBorder="1" applyAlignment="1" applyProtection="1">
      <alignment horizontal="center" vertical="center"/>
    </xf>
    <xf numFmtId="0" fontId="73" fillId="13" borderId="81" xfId="3" applyFont="1" applyFill="1" applyBorder="1" applyAlignment="1" applyProtection="1">
      <alignment horizontal="center" vertical="center"/>
    </xf>
    <xf numFmtId="0" fontId="99" fillId="13" borderId="81" xfId="3" applyFont="1" applyFill="1" applyBorder="1" applyAlignment="1" applyProtection="1">
      <alignment horizontal="center" vertical="center"/>
    </xf>
    <xf numFmtId="1" fontId="73" fillId="0" borderId="0" xfId="3" applyNumberFormat="1" applyFont="1" applyFill="1" applyBorder="1" applyAlignment="1" applyProtection="1">
      <alignment vertical="center"/>
    </xf>
    <xf numFmtId="0" fontId="73" fillId="0" borderId="5" xfId="3" applyFont="1" applyFill="1" applyBorder="1" applyAlignment="1" applyProtection="1">
      <alignment vertical="center"/>
    </xf>
    <xf numFmtId="0" fontId="73" fillId="0" borderId="6" xfId="3" applyFont="1" applyFill="1" applyBorder="1" applyAlignment="1" applyProtection="1">
      <alignment vertical="center"/>
    </xf>
    <xf numFmtId="0" fontId="94" fillId="0" borderId="6" xfId="3" applyFont="1" applyFill="1" applyBorder="1" applyAlignment="1" applyProtection="1">
      <alignment horizontal="right" vertical="center"/>
    </xf>
    <xf numFmtId="0" fontId="94" fillId="0" borderId="6" xfId="3" applyFont="1" applyFill="1" applyBorder="1" applyAlignment="1" applyProtection="1">
      <alignment horizontal="center" vertical="center"/>
    </xf>
    <xf numFmtId="0" fontId="73" fillId="0" borderId="6" xfId="3" applyFont="1" applyFill="1" applyBorder="1" applyAlignment="1" applyProtection="1">
      <alignment horizontal="center" vertical="center"/>
    </xf>
    <xf numFmtId="2" fontId="77" fillId="0" borderId="6" xfId="3" applyNumberFormat="1" applyFont="1" applyFill="1" applyBorder="1" applyAlignment="1" applyProtection="1">
      <alignment horizontal="right" vertical="center"/>
    </xf>
    <xf numFmtId="2" fontId="94" fillId="0" borderId="6" xfId="3" applyNumberFormat="1" applyFont="1" applyFill="1" applyBorder="1" applyAlignment="1" applyProtection="1">
      <alignment vertical="center"/>
    </xf>
    <xf numFmtId="2" fontId="94" fillId="0" borderId="7" xfId="3" applyNumberFormat="1" applyFont="1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Font="1" applyFill="1" applyProtection="1"/>
    <xf numFmtId="0" fontId="15" fillId="0" borderId="0" xfId="3" applyFont="1" applyFill="1" applyAlignment="1" applyProtection="1">
      <alignment horizontal="center"/>
    </xf>
    <xf numFmtId="0" fontId="100" fillId="0" borderId="12" xfId="3" applyFont="1" applyBorder="1" applyAlignment="1" applyProtection="1">
      <alignment horizontal="left" vertical="center"/>
    </xf>
    <xf numFmtId="0" fontId="82" fillId="0" borderId="0" xfId="3" applyFont="1" applyBorder="1" applyAlignment="1" applyProtection="1">
      <alignment horizontal="left" vertical="center"/>
    </xf>
    <xf numFmtId="0" fontId="101" fillId="0" borderId="4" xfId="3" applyFont="1" applyBorder="1" applyAlignment="1" applyProtection="1">
      <alignment horizontal="center" vertical="center" wrapText="1"/>
    </xf>
    <xf numFmtId="0" fontId="96" fillId="0" borderId="13" xfId="3" applyFont="1" applyBorder="1" applyAlignment="1" applyProtection="1">
      <alignment horizontal="center" vertical="center" wrapText="1"/>
    </xf>
    <xf numFmtId="0" fontId="100" fillId="0" borderId="0" xfId="3" applyFont="1" applyFill="1" applyBorder="1" applyAlignment="1" applyProtection="1">
      <alignment horizontal="left" vertical="center"/>
    </xf>
    <xf numFmtId="0" fontId="66" fillId="13" borderId="98" xfId="3" applyFont="1" applyFill="1" applyBorder="1" applyAlignment="1" applyProtection="1">
      <alignment horizontal="center"/>
    </xf>
    <xf numFmtId="0" fontId="61" fillId="13" borderId="78" xfId="3" applyFont="1" applyFill="1" applyBorder="1" applyAlignment="1" applyProtection="1">
      <alignment horizontal="center" vertical="center" wrapText="1"/>
    </xf>
    <xf numFmtId="0" fontId="66" fillId="13" borderId="102" xfId="3" applyFont="1" applyFill="1" applyBorder="1" applyAlignment="1" applyProtection="1">
      <alignment horizontal="center" vertical="center" wrapText="1"/>
    </xf>
    <xf numFmtId="0" fontId="15" fillId="13" borderId="103" xfId="3" applyFont="1" applyFill="1" applyBorder="1" applyAlignment="1" applyProtection="1">
      <alignment horizontal="center"/>
    </xf>
    <xf numFmtId="0" fontId="66" fillId="13" borderId="103" xfId="3" applyFont="1" applyFill="1" applyBorder="1" applyAlignment="1" applyProtection="1">
      <alignment horizontal="center" vertical="center" wrapText="1"/>
    </xf>
    <xf numFmtId="0" fontId="89" fillId="13" borderId="75" xfId="3" applyFont="1" applyFill="1" applyBorder="1" applyAlignment="1" applyProtection="1">
      <alignment horizontal="center"/>
    </xf>
    <xf numFmtId="0" fontId="102" fillId="0" borderId="0" xfId="3" applyFont="1" applyFill="1" applyBorder="1" applyAlignment="1" applyProtection="1">
      <alignment horizontal="center"/>
    </xf>
    <xf numFmtId="0" fontId="103" fillId="3" borderId="87" xfId="3" applyFont="1" applyFill="1" applyBorder="1" applyAlignment="1" applyProtection="1">
      <alignment horizontal="center" vertical="center"/>
    </xf>
    <xf numFmtId="0" fontId="104" fillId="3" borderId="73" xfId="3" applyFont="1" applyFill="1" applyBorder="1" applyAlignment="1" applyProtection="1">
      <alignment horizontal="center"/>
    </xf>
    <xf numFmtId="0" fontId="104" fillId="3" borderId="101" xfId="3" applyFont="1" applyFill="1" applyBorder="1" applyAlignment="1" applyProtection="1"/>
    <xf numFmtId="0" fontId="104" fillId="3" borderId="64" xfId="3" applyFont="1" applyFill="1" applyBorder="1" applyAlignment="1" applyProtection="1"/>
    <xf numFmtId="0" fontId="104" fillId="3" borderId="72" xfId="3" applyFont="1" applyFill="1" applyBorder="1" applyAlignment="1" applyProtection="1"/>
    <xf numFmtId="0" fontId="105" fillId="3" borderId="72" xfId="3" applyFont="1" applyFill="1" applyBorder="1" applyAlignment="1" applyProtection="1">
      <alignment horizontal="center" vertical="center" wrapText="1"/>
    </xf>
    <xf numFmtId="2" fontId="104" fillId="3" borderId="73" xfId="3" applyNumberFormat="1" applyFont="1" applyFill="1" applyBorder="1" applyAlignment="1" applyProtection="1">
      <alignment horizontal="center"/>
    </xf>
    <xf numFmtId="2" fontId="104" fillId="3" borderId="74" xfId="3" applyNumberFormat="1" applyFont="1" applyFill="1" applyBorder="1" applyAlignment="1" applyProtection="1">
      <alignment horizontal="center"/>
    </xf>
    <xf numFmtId="0" fontId="106" fillId="0" borderId="0" xfId="3" applyFont="1" applyFill="1" applyBorder="1" applyAlignment="1" applyProtection="1">
      <alignment horizontal="center"/>
    </xf>
    <xf numFmtId="0" fontId="91" fillId="18" borderId="73" xfId="3" applyFont="1" applyFill="1" applyBorder="1" applyAlignment="1" applyProtection="1">
      <alignment horizontal="center"/>
    </xf>
    <xf numFmtId="2" fontId="91" fillId="18" borderId="73" xfId="3" applyNumberFormat="1" applyFont="1" applyFill="1" applyBorder="1" applyAlignment="1" applyProtection="1">
      <alignment horizontal="center"/>
    </xf>
    <xf numFmtId="0" fontId="73" fillId="13" borderId="64" xfId="3" applyFont="1" applyFill="1" applyBorder="1" applyAlignment="1" applyProtection="1">
      <alignment vertical="center"/>
    </xf>
    <xf numFmtId="0" fontId="94" fillId="13" borderId="64" xfId="3" applyFont="1" applyFill="1" applyBorder="1" applyAlignment="1" applyProtection="1">
      <alignment horizontal="right" vertical="center"/>
    </xf>
    <xf numFmtId="0" fontId="94" fillId="13" borderId="64" xfId="3" applyFont="1" applyFill="1" applyBorder="1" applyAlignment="1" applyProtection="1">
      <alignment horizontal="center" vertical="center"/>
    </xf>
    <xf numFmtId="0" fontId="100" fillId="0" borderId="65" xfId="3" applyFont="1" applyBorder="1" applyAlignment="1" applyProtection="1">
      <alignment horizontal="left" vertical="center"/>
    </xf>
    <xf numFmtId="0" fontId="73" fillId="0" borderId="66" xfId="3" applyFont="1" applyBorder="1" applyAlignment="1" applyProtection="1">
      <alignment horizontal="center" vertical="center" wrapText="1"/>
    </xf>
    <xf numFmtId="0" fontId="15" fillId="13" borderId="0" xfId="3" applyFont="1" applyFill="1" applyBorder="1" applyAlignment="1" applyProtection="1">
      <alignment horizontal="center"/>
    </xf>
    <xf numFmtId="0" fontId="106" fillId="0" borderId="0" xfId="3" applyFont="1" applyProtection="1"/>
    <xf numFmtId="0" fontId="106" fillId="0" borderId="0" xfId="3" applyFont="1" applyAlignment="1" applyProtection="1">
      <alignment horizontal="center"/>
    </xf>
    <xf numFmtId="0" fontId="107" fillId="13" borderId="75" xfId="3" applyFont="1" applyFill="1" applyBorder="1" applyAlignment="1" applyProtection="1">
      <alignment horizontal="center" vertical="center" wrapText="1"/>
    </xf>
    <xf numFmtId="0" fontId="73" fillId="13" borderId="80" xfId="3" applyFont="1" applyFill="1" applyBorder="1" applyProtection="1"/>
    <xf numFmtId="0" fontId="73" fillId="13" borderId="81" xfId="3" applyFont="1" applyFill="1" applyBorder="1" applyAlignment="1" applyProtection="1">
      <alignment vertical="center"/>
    </xf>
    <xf numFmtId="0" fontId="94" fillId="13" borderId="81" xfId="3" applyFont="1" applyFill="1" applyBorder="1" applyAlignment="1" applyProtection="1">
      <alignment horizontal="right" vertical="center"/>
    </xf>
    <xf numFmtId="0" fontId="94" fillId="13" borderId="81" xfId="3" applyFont="1" applyFill="1" applyBorder="1" applyAlignment="1" applyProtection="1">
      <alignment horizontal="center" vertical="center"/>
    </xf>
    <xf numFmtId="0" fontId="73" fillId="13" borderId="83" xfId="3" applyFont="1" applyFill="1" applyBorder="1" applyAlignment="1" applyProtection="1">
      <alignment horizontal="center" vertical="center"/>
    </xf>
    <xf numFmtId="0" fontId="73" fillId="0" borderId="0" xfId="3" applyFont="1" applyFill="1" applyBorder="1" applyAlignment="1" applyProtection="1">
      <alignment vertical="center"/>
    </xf>
    <xf numFmtId="0" fontId="15" fillId="0" borderId="9" xfId="3" applyFont="1" applyFill="1" applyBorder="1" applyProtection="1"/>
    <xf numFmtId="0" fontId="73" fillId="0" borderId="1" xfId="3" applyFont="1" applyFill="1" applyBorder="1" applyAlignment="1" applyProtection="1">
      <alignment vertical="center"/>
    </xf>
    <xf numFmtId="0" fontId="94" fillId="0" borderId="1" xfId="3" applyFont="1" applyFill="1" applyBorder="1" applyAlignment="1" applyProtection="1">
      <alignment horizontal="right" vertical="center"/>
    </xf>
    <xf numFmtId="0" fontId="94" fillId="0" borderId="1" xfId="3" applyFont="1" applyFill="1" applyBorder="1" applyAlignment="1" applyProtection="1">
      <alignment horizontal="center" vertical="center"/>
    </xf>
    <xf numFmtId="0" fontId="73" fillId="0" borderId="1" xfId="3" applyFont="1" applyFill="1" applyBorder="1" applyAlignment="1" applyProtection="1">
      <alignment horizontal="center" vertical="center"/>
    </xf>
    <xf numFmtId="2" fontId="94" fillId="0" borderId="0" xfId="3" applyNumberFormat="1" applyFont="1" applyFill="1" applyBorder="1" applyAlignment="1" applyProtection="1">
      <alignment horizontal="right" vertical="center"/>
    </xf>
    <xf numFmtId="2" fontId="94" fillId="0" borderId="1" xfId="3" applyNumberFormat="1" applyFont="1" applyFill="1" applyBorder="1" applyAlignment="1" applyProtection="1">
      <alignment vertical="center"/>
    </xf>
    <xf numFmtId="2" fontId="94" fillId="0" borderId="13" xfId="3" applyNumberFormat="1" applyFont="1" applyFill="1" applyBorder="1" applyAlignment="1" applyProtection="1">
      <alignment vertical="center"/>
    </xf>
    <xf numFmtId="0" fontId="73" fillId="0" borderId="0" xfId="3" applyFont="1" applyFill="1" applyAlignment="1" applyProtection="1">
      <alignment vertical="center"/>
    </xf>
    <xf numFmtId="0" fontId="73" fillId="0" borderId="0" xfId="3" applyFont="1" applyFill="1" applyAlignment="1" applyProtection="1">
      <alignment horizontal="center" vertical="center"/>
    </xf>
    <xf numFmtId="0" fontId="77" fillId="4" borderId="7" xfId="3" applyFont="1" applyFill="1" applyBorder="1" applyAlignment="1" applyProtection="1">
      <alignment horizontal="left" vertical="center"/>
    </xf>
    <xf numFmtId="0" fontId="108" fillId="4" borderId="5" xfId="3" applyFont="1" applyFill="1" applyBorder="1" applyAlignment="1" applyProtection="1">
      <alignment vertical="center"/>
    </xf>
    <xf numFmtId="0" fontId="73" fillId="4" borderId="7" xfId="3" applyFont="1" applyFill="1" applyBorder="1" applyAlignment="1" applyProtection="1">
      <alignment horizontal="center" vertical="center"/>
    </xf>
    <xf numFmtId="0" fontId="37" fillId="13" borderId="104" xfId="3" applyFont="1" applyFill="1" applyBorder="1" applyAlignment="1" applyProtection="1">
      <alignment horizontal="center"/>
    </xf>
    <xf numFmtId="0" fontId="66" fillId="13" borderId="107" xfId="3" applyFont="1" applyFill="1" applyBorder="1" applyAlignment="1" applyProtection="1">
      <alignment horizontal="center"/>
    </xf>
    <xf numFmtId="0" fontId="84" fillId="13" borderId="107" xfId="3" applyFont="1" applyFill="1" applyBorder="1" applyAlignment="1" applyProtection="1">
      <alignment horizontal="center"/>
    </xf>
    <xf numFmtId="0" fontId="61" fillId="13" borderId="107" xfId="3" applyFont="1" applyFill="1" applyBorder="1" applyAlignment="1" applyProtection="1">
      <alignment horizontal="center" vertical="center" wrapText="1"/>
    </xf>
    <xf numFmtId="0" fontId="61" fillId="13" borderId="108" xfId="3" applyFont="1" applyFill="1" applyBorder="1" applyAlignment="1" applyProtection="1">
      <alignment horizontal="center" vertical="center" wrapText="1"/>
    </xf>
    <xf numFmtId="0" fontId="61" fillId="13" borderId="99" xfId="3" applyFont="1" applyFill="1" applyBorder="1" applyAlignment="1" applyProtection="1"/>
    <xf numFmtId="0" fontId="61" fillId="13" borderId="0" xfId="3" applyFont="1" applyFill="1" applyBorder="1" applyAlignment="1" applyProtection="1"/>
    <xf numFmtId="0" fontId="61" fillId="13" borderId="99" xfId="3" applyFont="1" applyFill="1" applyBorder="1" applyAlignment="1" applyProtection="1">
      <alignment horizontal="center"/>
    </xf>
    <xf numFmtId="0" fontId="61" fillId="13" borderId="0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 vertical="center" wrapText="1"/>
    </xf>
    <xf numFmtId="0" fontId="73" fillId="13" borderId="9" xfId="3" applyFont="1" applyFill="1" applyBorder="1" applyAlignment="1" applyProtection="1">
      <alignment vertical="center"/>
    </xf>
    <xf numFmtId="0" fontId="97" fillId="13" borderId="1" xfId="3" applyFont="1" applyFill="1" applyBorder="1" applyAlignment="1" applyProtection="1">
      <alignment vertical="center"/>
    </xf>
    <xf numFmtId="0" fontId="77" fillId="13" borderId="1" xfId="3" applyFont="1" applyFill="1" applyBorder="1" applyAlignment="1" applyProtection="1">
      <alignment horizontal="right" vertical="center"/>
    </xf>
    <xf numFmtId="0" fontId="73" fillId="13" borderId="1" xfId="3" applyFont="1" applyFill="1" applyBorder="1" applyAlignment="1" applyProtection="1">
      <alignment horizontal="center" vertical="center"/>
    </xf>
    <xf numFmtId="0" fontId="77" fillId="13" borderId="82" xfId="3" applyFont="1" applyFill="1" applyBorder="1" applyAlignment="1" applyProtection="1">
      <alignment horizontal="right" vertical="center"/>
    </xf>
    <xf numFmtId="2" fontId="94" fillId="13" borderId="109" xfId="3" applyNumberFormat="1" applyFont="1" applyFill="1" applyBorder="1" applyAlignment="1" applyProtection="1">
      <alignment vertical="center"/>
    </xf>
    <xf numFmtId="2" fontId="94" fillId="13" borderId="110" xfId="3" applyNumberFormat="1" applyFont="1" applyFill="1" applyBorder="1" applyAlignment="1" applyProtection="1">
      <alignment vertical="center"/>
    </xf>
    <xf numFmtId="0" fontId="37" fillId="13" borderId="107" xfId="3" applyFont="1" applyFill="1" applyBorder="1" applyAlignment="1" applyProtection="1">
      <alignment horizontal="center"/>
    </xf>
    <xf numFmtId="0" fontId="61" fillId="13" borderId="94" xfId="3" applyFont="1" applyFill="1" applyBorder="1" applyAlignment="1" applyProtection="1"/>
    <xf numFmtId="0" fontId="61" fillId="13" borderId="94" xfId="3" applyFont="1" applyFill="1" applyBorder="1" applyAlignment="1" applyProtection="1">
      <alignment horizontal="center"/>
      <protection locked="0"/>
    </xf>
    <xf numFmtId="0" fontId="61" fillId="13" borderId="0" xfId="3" applyFont="1" applyFill="1" applyBorder="1" applyAlignment="1" applyProtection="1">
      <alignment horizontal="center"/>
      <protection locked="0"/>
    </xf>
    <xf numFmtId="0" fontId="66" fillId="13" borderId="94" xfId="3" applyFont="1" applyFill="1" applyBorder="1" applyAlignment="1" applyProtection="1">
      <alignment horizontal="center" vertical="center" wrapText="1"/>
      <protection locked="0"/>
    </xf>
    <xf numFmtId="0" fontId="15" fillId="0" borderId="73" xfId="3" applyFont="1" applyBorder="1" applyAlignment="1" applyProtection="1">
      <protection locked="0"/>
    </xf>
    <xf numFmtId="0" fontId="73" fillId="13" borderId="1" xfId="3" applyFont="1" applyFill="1" applyBorder="1" applyAlignment="1" applyProtection="1">
      <alignment vertical="center"/>
    </xf>
    <xf numFmtId="0" fontId="83" fillId="13" borderId="107" xfId="3" applyFont="1" applyFill="1" applyBorder="1" applyAlignment="1" applyProtection="1">
      <alignment horizontal="center"/>
    </xf>
    <xf numFmtId="0" fontId="83" fillId="13" borderId="94" xfId="3" applyFont="1" applyFill="1" applyBorder="1" applyAlignment="1" applyProtection="1">
      <alignment horizontal="right" vertical="center"/>
    </xf>
    <xf numFmtId="0" fontId="109" fillId="0" borderId="0" xfId="3" applyFont="1" applyFill="1" applyBorder="1" applyAlignment="1" applyProtection="1"/>
    <xf numFmtId="0" fontId="109" fillId="0" borderId="0" xfId="3" applyFont="1" applyAlignment="1" applyProtection="1"/>
    <xf numFmtId="0" fontId="109" fillId="0" borderId="0" xfId="3" applyFont="1" applyAlignment="1" applyProtection="1">
      <alignment horizontal="center"/>
    </xf>
    <xf numFmtId="0" fontId="109" fillId="0" borderId="0" xfId="3" applyFont="1" applyProtection="1"/>
    <xf numFmtId="0" fontId="109" fillId="0" borderId="0" xfId="3" applyFont="1" applyFill="1" applyBorder="1" applyProtection="1"/>
    <xf numFmtId="0" fontId="94" fillId="0" borderId="0" xfId="3" applyFont="1" applyFill="1" applyBorder="1" applyAlignment="1" applyProtection="1">
      <alignment horizontal="right" vertical="center"/>
    </xf>
    <xf numFmtId="0" fontId="77" fillId="0" borderId="0" xfId="3" applyFont="1" applyFill="1" applyBorder="1" applyAlignment="1" applyProtection="1">
      <alignment horizontal="right" vertical="center"/>
    </xf>
    <xf numFmtId="2" fontId="94" fillId="0" borderId="0" xfId="3" applyNumberFormat="1" applyFont="1" applyFill="1" applyBorder="1" applyAlignment="1" applyProtection="1">
      <alignment vertical="center"/>
    </xf>
    <xf numFmtId="0" fontId="110" fillId="0" borderId="0" xfId="3" applyFont="1" applyFill="1" applyBorder="1" applyAlignment="1" applyProtection="1">
      <alignment vertical="center"/>
    </xf>
    <xf numFmtId="0" fontId="110" fillId="0" borderId="0" xfId="3" applyFont="1" applyAlignment="1" applyProtection="1">
      <alignment vertical="center"/>
    </xf>
    <xf numFmtId="0" fontId="110" fillId="0" borderId="0" xfId="3" applyFont="1" applyAlignment="1" applyProtection="1">
      <alignment horizontal="center" vertical="center"/>
    </xf>
    <xf numFmtId="0" fontId="94" fillId="0" borderId="0" xfId="3" applyFont="1" applyBorder="1" applyAlignment="1" applyProtection="1">
      <alignment horizontal="right"/>
    </xf>
    <xf numFmtId="0" fontId="94" fillId="0" borderId="0" xfId="3" applyFont="1" applyBorder="1" applyAlignment="1" applyProtection="1">
      <alignment horizontal="center"/>
    </xf>
    <xf numFmtId="2" fontId="94" fillId="0" borderId="0" xfId="3" applyNumberFormat="1" applyFont="1" applyBorder="1" applyProtection="1"/>
    <xf numFmtId="0" fontId="110" fillId="0" borderId="0" xfId="3" applyFont="1" applyFill="1" applyAlignment="1" applyProtection="1">
      <alignment vertical="center"/>
    </xf>
    <xf numFmtId="0" fontId="110" fillId="0" borderId="0" xfId="3" applyFont="1" applyFill="1" applyAlignment="1" applyProtection="1">
      <alignment horizontal="center" vertical="center"/>
    </xf>
    <xf numFmtId="0" fontId="79" fillId="17" borderId="5" xfId="3" applyFont="1" applyFill="1" applyBorder="1" applyAlignment="1" applyProtection="1">
      <alignment horizontal="center" vertical="top"/>
    </xf>
    <xf numFmtId="0" fontId="37" fillId="13" borderId="3" xfId="3" applyFont="1" applyFill="1" applyBorder="1" applyAlignment="1" applyProtection="1">
      <alignment horizontal="center"/>
    </xf>
    <xf numFmtId="0" fontId="15" fillId="13" borderId="4" xfId="3" applyFont="1" applyFill="1" applyBorder="1" applyAlignment="1" applyProtection="1">
      <alignment horizontal="center"/>
    </xf>
    <xf numFmtId="1" fontId="37" fillId="13" borderId="107" xfId="3" applyNumberFormat="1" applyFont="1" applyFill="1" applyBorder="1" applyAlignment="1" applyProtection="1">
      <alignment horizontal="center"/>
    </xf>
    <xf numFmtId="0" fontId="15" fillId="13" borderId="79" xfId="3" applyFont="1" applyFill="1" applyBorder="1" applyAlignment="1" applyProtection="1">
      <alignment horizontal="center" vertical="center"/>
    </xf>
    <xf numFmtId="0" fontId="61" fillId="13" borderId="63" xfId="3" applyFont="1" applyFill="1" applyBorder="1" applyAlignment="1" applyProtection="1">
      <alignment horizontal="center"/>
    </xf>
    <xf numFmtId="187" fontId="15" fillId="0" borderId="93" xfId="3" applyNumberFormat="1" applyFont="1" applyBorder="1" applyAlignment="1" applyProtection="1">
      <alignment horizontal="left"/>
    </xf>
    <xf numFmtId="187" fontId="15" fillId="0" borderId="103" xfId="3" applyNumberFormat="1" applyFont="1" applyBorder="1" applyAlignment="1" applyProtection="1">
      <alignment horizontal="left"/>
    </xf>
    <xf numFmtId="0" fontId="15" fillId="0" borderId="100" xfId="3" applyFont="1" applyBorder="1" applyAlignment="1" applyProtection="1"/>
    <xf numFmtId="0" fontId="15" fillId="0" borderId="63" xfId="3" applyFont="1" applyBorder="1" applyAlignment="1" applyProtection="1"/>
    <xf numFmtId="0" fontId="111" fillId="18" borderId="75" xfId="3" applyFont="1" applyFill="1" applyBorder="1" applyAlignment="1" applyProtection="1">
      <alignment horizontal="center"/>
    </xf>
    <xf numFmtId="187" fontId="91" fillId="18" borderId="75" xfId="3" applyNumberFormat="1" applyFont="1" applyFill="1" applyBorder="1" applyAlignment="1" applyProtection="1">
      <alignment horizontal="center"/>
    </xf>
    <xf numFmtId="2" fontId="91" fillId="18" borderId="75" xfId="3" applyNumberFormat="1" applyFont="1" applyFill="1" applyBorder="1" applyAlignment="1" applyProtection="1">
      <alignment horizontal="center"/>
    </xf>
    <xf numFmtId="2" fontId="91" fillId="18" borderId="76" xfId="3" applyNumberFormat="1" applyFont="1" applyFill="1" applyBorder="1" applyAlignment="1" applyProtection="1">
      <alignment horizontal="center"/>
    </xf>
    <xf numFmtId="187" fontId="15" fillId="0" borderId="72" xfId="3" applyNumberFormat="1" applyFont="1" applyBorder="1" applyAlignment="1" applyProtection="1">
      <alignment horizontal="left"/>
    </xf>
    <xf numFmtId="0" fontId="15" fillId="0" borderId="101" xfId="3" applyFont="1" applyBorder="1" applyAlignment="1" applyProtection="1"/>
    <xf numFmtId="0" fontId="15" fillId="0" borderId="64" xfId="3" applyFont="1" applyBorder="1" applyAlignment="1" applyProtection="1"/>
    <xf numFmtId="0" fontId="111" fillId="18" borderId="73" xfId="3" applyFont="1" applyFill="1" applyBorder="1" applyAlignment="1" applyProtection="1">
      <alignment horizontal="center"/>
    </xf>
    <xf numFmtId="187" fontId="91" fillId="18" borderId="73" xfId="3" applyNumberFormat="1" applyFont="1" applyFill="1" applyBorder="1" applyAlignment="1" applyProtection="1">
      <alignment horizontal="center"/>
    </xf>
    <xf numFmtId="0" fontId="15" fillId="0" borderId="93" xfId="3" applyFont="1" applyBorder="1" applyAlignment="1" applyProtection="1">
      <alignment vertical="top"/>
    </xf>
    <xf numFmtId="0" fontId="15" fillId="0" borderId="72" xfId="3" applyFont="1" applyBorder="1" applyAlignment="1" applyProtection="1">
      <alignment vertical="top"/>
    </xf>
    <xf numFmtId="0" fontId="112" fillId="0" borderId="101" xfId="3" applyFont="1" applyBorder="1" applyAlignment="1" applyProtection="1">
      <alignment vertical="top" wrapText="1"/>
    </xf>
    <xf numFmtId="0" fontId="112" fillId="0" borderId="64" xfId="3" applyFont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 vertical="center"/>
      <protection locked="0"/>
    </xf>
    <xf numFmtId="1" fontId="111" fillId="18" borderId="73" xfId="3" applyNumberFormat="1" applyFont="1" applyFill="1" applyBorder="1" applyAlignment="1" applyProtection="1">
      <alignment horizontal="center"/>
    </xf>
    <xf numFmtId="0" fontId="91" fillId="18" borderId="73" xfId="3" applyFont="1" applyFill="1" applyBorder="1" applyAlignment="1" applyProtection="1">
      <alignment horizontal="center" vertical="center"/>
    </xf>
    <xf numFmtId="2" fontId="91" fillId="18" borderId="73" xfId="3" applyNumberFormat="1" applyFont="1" applyFill="1" applyBorder="1" applyAlignment="1" applyProtection="1">
      <alignment horizontal="center" vertical="center"/>
    </xf>
    <xf numFmtId="2" fontId="91" fillId="18" borderId="74" xfId="3" applyNumberFormat="1" applyFont="1" applyFill="1" applyBorder="1" applyAlignment="1" applyProtection="1">
      <alignment horizontal="center" vertical="center"/>
    </xf>
    <xf numFmtId="0" fontId="111" fillId="18" borderId="73" xfId="3" applyFont="1" applyFill="1" applyBorder="1" applyAlignment="1" applyProtection="1">
      <alignment horizontal="center" vertical="center"/>
    </xf>
    <xf numFmtId="1" fontId="15" fillId="0" borderId="73" xfId="3" applyNumberFormat="1" applyFont="1" applyBorder="1" applyAlignment="1" applyProtection="1">
      <alignment horizontal="center"/>
      <protection locked="0"/>
    </xf>
    <xf numFmtId="0" fontId="73" fillId="0" borderId="111" xfId="3" applyFont="1" applyFill="1" applyBorder="1" applyAlignment="1" applyProtection="1">
      <alignment vertical="center"/>
    </xf>
    <xf numFmtId="1" fontId="94" fillId="13" borderId="1" xfId="3" applyNumberFormat="1" applyFont="1" applyFill="1" applyBorder="1" applyAlignment="1" applyProtection="1">
      <alignment horizontal="right" vertical="center"/>
    </xf>
    <xf numFmtId="2" fontId="94" fillId="13" borderId="83" xfId="3" applyNumberFormat="1" applyFont="1" applyFill="1" applyBorder="1" applyAlignment="1" applyProtection="1">
      <alignment horizontal="right" vertical="center"/>
    </xf>
    <xf numFmtId="2" fontId="94" fillId="13" borderId="84" xfId="3" applyNumberFormat="1" applyFont="1" applyFill="1" applyBorder="1" applyAlignment="1" applyProtection="1">
      <alignment horizontal="right" vertical="center"/>
    </xf>
    <xf numFmtId="0" fontId="73" fillId="0" borderId="4" xfId="3" applyFont="1" applyFill="1" applyBorder="1" applyAlignment="1" applyProtection="1">
      <alignment vertical="center"/>
    </xf>
    <xf numFmtId="1" fontId="94" fillId="0" borderId="4" xfId="3" applyNumberFormat="1" applyFont="1" applyFill="1" applyBorder="1" applyAlignment="1" applyProtection="1">
      <alignment horizontal="right" vertical="center"/>
    </xf>
    <xf numFmtId="0" fontId="73" fillId="0" borderId="4" xfId="3" applyFont="1" applyFill="1" applyBorder="1" applyAlignment="1" applyProtection="1">
      <alignment horizontal="center" vertical="center"/>
    </xf>
    <xf numFmtId="0" fontId="110" fillId="0" borderId="0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/>
    <xf numFmtId="1" fontId="61" fillId="0" borderId="0" xfId="3" applyNumberFormat="1" applyFont="1" applyFill="1" applyBorder="1" applyAlignment="1" applyProtection="1">
      <alignment horizontal="right"/>
    </xf>
    <xf numFmtId="1" fontId="61" fillId="0" borderId="0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center"/>
    </xf>
    <xf numFmtId="2" fontId="61" fillId="0" borderId="0" xfId="3" applyNumberFormat="1" applyFont="1" applyFill="1" applyBorder="1" applyAlignment="1" applyProtection="1">
      <alignment horizontal="right"/>
    </xf>
    <xf numFmtId="0" fontId="110" fillId="0" borderId="0" xfId="3" applyFont="1" applyProtection="1"/>
    <xf numFmtId="0" fontId="110" fillId="0" borderId="0" xfId="3" applyFont="1" applyAlignment="1" applyProtection="1">
      <alignment horizontal="center"/>
    </xf>
    <xf numFmtId="0" fontId="79" fillId="17" borderId="5" xfId="3" applyFont="1" applyFill="1" applyBorder="1" applyAlignment="1" applyProtection="1">
      <alignment horizontal="center"/>
    </xf>
    <xf numFmtId="0" fontId="79" fillId="17" borderId="6" xfId="3" applyFont="1" applyFill="1" applyBorder="1" applyAlignment="1" applyProtection="1">
      <alignment horizontal="left"/>
    </xf>
    <xf numFmtId="0" fontId="113" fillId="17" borderId="6" xfId="3" applyFont="1" applyFill="1" applyBorder="1" applyAlignment="1" applyProtection="1">
      <alignment horizontal="left"/>
    </xf>
    <xf numFmtId="0" fontId="113" fillId="17" borderId="7" xfId="3" applyFont="1" applyFill="1" applyBorder="1" applyAlignment="1" applyProtection="1">
      <alignment horizontal="left"/>
    </xf>
    <xf numFmtId="0" fontId="15" fillId="13" borderId="106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61" fillId="13" borderId="31" xfId="3" applyFont="1" applyFill="1" applyBorder="1" applyAlignment="1" applyProtection="1">
      <alignment horizontal="center" vertical="center" wrapText="1"/>
    </xf>
    <xf numFmtId="0" fontId="61" fillId="13" borderId="2" xfId="3" applyFont="1" applyFill="1" applyBorder="1" applyAlignment="1" applyProtection="1">
      <alignment horizontal="center" vertical="center" wrapText="1"/>
    </xf>
    <xf numFmtId="0" fontId="37" fillId="13" borderId="103" xfId="3" applyFont="1" applyFill="1" applyBorder="1" applyAlignment="1" applyProtection="1">
      <alignment horizontal="center" vertical="center" wrapText="1"/>
    </xf>
    <xf numFmtId="0" fontId="61" fillId="13" borderId="112" xfId="3" applyFont="1" applyFill="1" applyBorder="1" applyAlignment="1" applyProtection="1">
      <alignment horizontal="center" vertical="center" wrapText="1"/>
    </xf>
    <xf numFmtId="0" fontId="61" fillId="13" borderId="113" xfId="3" applyFont="1" applyFill="1" applyBorder="1" applyAlignment="1" applyProtection="1">
      <alignment horizontal="center" vertical="center" wrapText="1"/>
    </xf>
    <xf numFmtId="0" fontId="15" fillId="0" borderId="93" xfId="3" applyFont="1" applyBorder="1" applyProtection="1"/>
    <xf numFmtId="0" fontId="114" fillId="0" borderId="100" xfId="3" applyFont="1" applyFill="1" applyBorder="1" applyAlignment="1" applyProtection="1">
      <alignment vertical="top"/>
    </xf>
    <xf numFmtId="0" fontId="114" fillId="0" borderId="63" xfId="3" applyFont="1" applyFill="1" applyBorder="1" applyAlignment="1" applyProtection="1">
      <alignment vertical="top" wrapText="1"/>
    </xf>
    <xf numFmtId="0" fontId="15" fillId="0" borderId="75" xfId="3" applyFont="1" applyFill="1" applyBorder="1" applyAlignment="1" applyProtection="1">
      <alignment horizontal="center"/>
      <protection locked="0"/>
    </xf>
    <xf numFmtId="0" fontId="91" fillId="18" borderId="75" xfId="3" applyFont="1" applyFill="1" applyBorder="1" applyAlignment="1" applyProtection="1">
      <alignment horizontal="center"/>
    </xf>
    <xf numFmtId="2" fontId="91" fillId="18" borderId="75" xfId="3" applyNumberFormat="1" applyFont="1" applyFill="1" applyBorder="1" applyAlignment="1" applyProtection="1">
      <alignment horizontal="center" vertical="center"/>
    </xf>
    <xf numFmtId="0" fontId="114" fillId="0" borderId="101" xfId="3" applyFont="1" applyFill="1" applyBorder="1" applyAlignment="1" applyProtection="1">
      <alignment vertical="top"/>
    </xf>
    <xf numFmtId="0" fontId="114" fillId="0" borderId="64" xfId="3" applyFont="1" applyFill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/>
      <protection locked="0"/>
    </xf>
    <xf numFmtId="0" fontId="15" fillId="0" borderId="101" xfId="3" applyFont="1" applyFill="1" applyBorder="1" applyAlignment="1" applyProtection="1">
      <alignment vertical="top"/>
    </xf>
    <xf numFmtId="0" fontId="15" fillId="13" borderId="81" xfId="3" applyFont="1" applyFill="1" applyBorder="1" applyAlignment="1" applyProtection="1">
      <alignment vertical="center"/>
    </xf>
    <xf numFmtId="1" fontId="61" fillId="13" borderId="81" xfId="3" applyNumberFormat="1" applyFont="1" applyFill="1" applyBorder="1" applyAlignment="1" applyProtection="1">
      <alignment horizontal="right" vertical="center"/>
    </xf>
    <xf numFmtId="1" fontId="61" fillId="0" borderId="0" xfId="3" applyNumberFormat="1" applyFont="1" applyFill="1" applyBorder="1" applyAlignment="1" applyProtection="1">
      <alignment horizontal="right" vertical="center"/>
    </xf>
    <xf numFmtId="0" fontId="73" fillId="0" borderId="0" xfId="3" applyFont="1" applyBorder="1" applyAlignment="1" applyProtection="1"/>
    <xf numFmtId="0" fontId="79" fillId="17" borderId="7" xfId="3" applyFont="1" applyFill="1" applyBorder="1" applyAlignment="1" applyProtection="1">
      <alignment horizontal="left"/>
    </xf>
    <xf numFmtId="0" fontId="15" fillId="0" borderId="89" xfId="3" applyFont="1" applyBorder="1" applyAlignment="1" applyProtection="1"/>
    <xf numFmtId="0" fontId="112" fillId="0" borderId="63" xfId="3" applyFont="1" applyBorder="1" applyAlignment="1" applyProtection="1"/>
    <xf numFmtId="0" fontId="15" fillId="0" borderId="93" xfId="3" applyFont="1" applyBorder="1" applyAlignment="1" applyProtection="1"/>
    <xf numFmtId="0" fontId="112" fillId="0" borderId="64" xfId="3" applyFont="1" applyBorder="1" applyAlignment="1" applyProtection="1"/>
    <xf numFmtId="0" fontId="15" fillId="0" borderId="64" xfId="3" applyFont="1" applyBorder="1" applyAlignment="1" applyProtection="1">
      <alignment vertical="top"/>
    </xf>
    <xf numFmtId="0" fontId="110" fillId="0" borderId="0" xfId="3" applyFont="1" applyFill="1" applyBorder="1" applyProtection="1"/>
    <xf numFmtId="0" fontId="110" fillId="0" borderId="0" xfId="3" applyFont="1" applyFill="1" applyBorder="1" applyAlignment="1" applyProtection="1">
      <alignment horizontal="center"/>
    </xf>
    <xf numFmtId="0" fontId="15" fillId="0" borderId="73" xfId="3" applyFont="1" applyBorder="1" applyAlignment="1" applyProtection="1"/>
    <xf numFmtId="0" fontId="112" fillId="0" borderId="101" xfId="3" applyFont="1" applyBorder="1" applyAlignment="1" applyProtection="1"/>
    <xf numFmtId="0" fontId="15" fillId="0" borderId="73" xfId="3" applyFont="1" applyBorder="1" applyAlignment="1" applyProtection="1">
      <alignment vertical="top"/>
    </xf>
    <xf numFmtId="0" fontId="110" fillId="0" borderId="0" xfId="3" applyFont="1" applyAlignment="1" applyProtection="1"/>
    <xf numFmtId="1" fontId="94" fillId="13" borderId="81" xfId="3" applyNumberFormat="1" applyFont="1" applyFill="1" applyBorder="1" applyAlignment="1" applyProtection="1">
      <alignment horizontal="right" vertical="center"/>
    </xf>
    <xf numFmtId="1" fontId="94" fillId="0" borderId="0" xfId="3" applyNumberFormat="1" applyFont="1" applyFill="1" applyBorder="1" applyAlignment="1" applyProtection="1">
      <alignment horizontal="right" vertical="center"/>
    </xf>
    <xf numFmtId="0" fontId="110" fillId="0" borderId="0" xfId="3" applyFont="1" applyFill="1" applyAlignment="1" applyProtection="1"/>
    <xf numFmtId="0" fontId="110" fillId="0" borderId="0" xfId="3" applyFont="1" applyFill="1" applyAlignment="1" applyProtection="1">
      <alignment horizontal="center"/>
    </xf>
    <xf numFmtId="0" fontId="115" fillId="0" borderId="0" xfId="3" applyFont="1" applyAlignment="1" applyProtection="1"/>
    <xf numFmtId="0" fontId="77" fillId="4" borderId="6" xfId="3" applyFont="1" applyFill="1" applyBorder="1" applyAlignment="1" applyProtection="1">
      <alignment horizontal="center" vertical="center" wrapText="1"/>
    </xf>
    <xf numFmtId="0" fontId="115" fillId="0" borderId="0" xfId="3" applyFont="1" applyAlignment="1" applyProtection="1">
      <alignment horizontal="center"/>
    </xf>
    <xf numFmtId="0" fontId="15" fillId="0" borderId="101" xfId="3" applyFont="1" applyBorder="1" applyAlignment="1" applyProtection="1">
      <alignment horizontal="left"/>
    </xf>
    <xf numFmtId="1" fontId="91" fillId="18" borderId="73" xfId="3" applyNumberFormat="1" applyFont="1" applyFill="1" applyBorder="1" applyAlignment="1" applyProtection="1">
      <alignment horizontal="center"/>
    </xf>
    <xf numFmtId="49" fontId="15" fillId="0" borderId="64" xfId="3" applyNumberFormat="1" applyFont="1" applyBorder="1" applyAlignment="1" applyProtection="1"/>
    <xf numFmtId="0" fontId="15" fillId="0" borderId="9" xfId="3" applyFont="1" applyFill="1" applyBorder="1" applyAlignment="1" applyProtection="1"/>
    <xf numFmtId="0" fontId="15" fillId="0" borderId="1" xfId="3" applyFont="1" applyFill="1" applyBorder="1" applyAlignment="1" applyProtection="1"/>
    <xf numFmtId="1" fontId="61" fillId="0" borderId="1" xfId="3" applyNumberFormat="1" applyFont="1" applyFill="1" applyBorder="1" applyAlignment="1" applyProtection="1">
      <alignment horizontal="right"/>
    </xf>
    <xf numFmtId="0" fontId="15" fillId="0" borderId="1" xfId="3" applyFont="1" applyFill="1" applyBorder="1" applyAlignment="1" applyProtection="1">
      <alignment horizontal="center"/>
    </xf>
    <xf numFmtId="2" fontId="61" fillId="0" borderId="1" xfId="3" applyNumberFormat="1" applyFont="1" applyFill="1" applyBorder="1" applyAlignment="1" applyProtection="1">
      <alignment horizontal="right"/>
    </xf>
    <xf numFmtId="2" fontId="61" fillId="0" borderId="10" xfId="3" applyNumberFormat="1" applyFont="1" applyFill="1" applyBorder="1" applyAlignment="1" applyProtection="1">
      <alignment horizontal="right"/>
    </xf>
    <xf numFmtId="0" fontId="15" fillId="4" borderId="6" xfId="3" applyFont="1" applyFill="1" applyBorder="1" applyAlignment="1" applyProtection="1">
      <alignment vertical="center"/>
    </xf>
    <xf numFmtId="0" fontId="73" fillId="4" borderId="7" xfId="3" applyFont="1" applyFill="1" applyBorder="1" applyAlignment="1" applyProtection="1">
      <alignment vertical="center"/>
    </xf>
    <xf numFmtId="0" fontId="15" fillId="0" borderId="0" xfId="3" applyFont="1" applyBorder="1" applyAlignment="1" applyProtection="1"/>
    <xf numFmtId="0" fontId="72" fillId="0" borderId="89" xfId="3" applyFont="1" applyBorder="1" applyAlignment="1" applyProtection="1"/>
    <xf numFmtId="0" fontId="15" fillId="0" borderId="72" xfId="3" applyFont="1" applyBorder="1" applyAlignment="1" applyProtection="1">
      <alignment horizontal="left"/>
    </xf>
    <xf numFmtId="0" fontId="72" fillId="0" borderId="101" xfId="3" applyFont="1" applyBorder="1" applyAlignment="1" applyProtection="1"/>
    <xf numFmtId="0" fontId="72" fillId="0" borderId="64" xfId="3" applyFont="1" applyBorder="1" applyAlignment="1" applyProtection="1"/>
    <xf numFmtId="0" fontId="72" fillId="0" borderId="93" xfId="3" applyFont="1" applyBorder="1" applyAlignment="1" applyProtection="1"/>
    <xf numFmtId="0" fontId="73" fillId="0" borderId="0" xfId="3" applyFont="1" applyFill="1" applyBorder="1" applyAlignment="1" applyProtection="1"/>
    <xf numFmtId="0" fontId="116" fillId="4" borderId="6" xfId="3" applyFont="1" applyFill="1" applyBorder="1" applyAlignment="1" applyProtection="1">
      <alignment horizontal="left" vertical="center"/>
    </xf>
    <xf numFmtId="0" fontId="15" fillId="0" borderId="0" xfId="3" applyFont="1" applyBorder="1" applyProtection="1"/>
    <xf numFmtId="0" fontId="114" fillId="0" borderId="64" xfId="3" applyFont="1" applyFill="1" applyBorder="1" applyAlignment="1" applyProtection="1">
      <alignment vertical="top"/>
    </xf>
    <xf numFmtId="0" fontId="15" fillId="0" borderId="0" xfId="3" applyFont="1" applyAlignment="1" applyProtection="1"/>
    <xf numFmtId="0" fontId="15" fillId="0" borderId="0" xfId="3" applyFont="1" applyAlignment="1" applyProtection="1">
      <protection locked="0"/>
    </xf>
    <xf numFmtId="0" fontId="15" fillId="0" borderId="73" xfId="3" applyFont="1" applyFill="1" applyBorder="1" applyAlignment="1" applyProtection="1">
      <alignment vertical="top"/>
    </xf>
    <xf numFmtId="0" fontId="15" fillId="0" borderId="73" xfId="3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vertical="center"/>
    </xf>
    <xf numFmtId="0" fontId="77" fillId="4" borderId="3" xfId="3" applyFont="1" applyFill="1" applyBorder="1" applyAlignment="1" applyProtection="1">
      <alignment horizontal="right" vertical="center"/>
    </xf>
    <xf numFmtId="0" fontId="77" fillId="4" borderId="4" xfId="3" applyFont="1" applyFill="1" applyBorder="1" applyAlignment="1" applyProtection="1">
      <alignment horizontal="left" vertical="center"/>
    </xf>
    <xf numFmtId="0" fontId="73" fillId="4" borderId="4" xfId="3" applyFont="1" applyFill="1" applyBorder="1" applyAlignment="1" applyProtection="1">
      <alignment vertical="center"/>
    </xf>
    <xf numFmtId="0" fontId="95" fillId="4" borderId="4" xfId="3" applyFont="1" applyFill="1" applyBorder="1" applyAlignment="1" applyProtection="1">
      <alignment horizontal="center" vertical="center" wrapText="1"/>
    </xf>
    <xf numFmtId="0" fontId="73" fillId="4" borderId="4" xfId="3" applyFont="1" applyFill="1" applyBorder="1" applyAlignment="1" applyProtection="1">
      <alignment horizontal="center" vertical="center" wrapText="1"/>
    </xf>
    <xf numFmtId="0" fontId="96" fillId="4" borderId="31" xfId="3" applyFont="1" applyFill="1" applyBorder="1" applyAlignment="1" applyProtection="1">
      <alignment horizontal="center" vertical="center" wrapText="1"/>
    </xf>
    <xf numFmtId="0" fontId="37" fillId="13" borderId="77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61" fillId="13" borderId="97" xfId="3" applyFont="1" applyFill="1" applyBorder="1" applyAlignment="1" applyProtection="1">
      <alignment horizontal="center"/>
    </xf>
    <xf numFmtId="0" fontId="118" fillId="13" borderId="98" xfId="3" applyFont="1" applyFill="1" applyBorder="1" applyAlignment="1" applyProtection="1">
      <alignment horizontal="center"/>
    </xf>
    <xf numFmtId="0" fontId="61" fillId="13" borderId="85" xfId="3" applyFont="1" applyFill="1" applyBorder="1" applyAlignment="1" applyProtection="1">
      <alignment horizontal="center"/>
    </xf>
    <xf numFmtId="0" fontId="37" fillId="13" borderId="12" xfId="3" applyFont="1" applyFill="1" applyBorder="1" applyAlignment="1" applyProtection="1">
      <alignment horizontal="center"/>
    </xf>
    <xf numFmtId="0" fontId="118" fillId="13" borderId="102" xfId="3" applyFont="1" applyFill="1" applyBorder="1" applyAlignment="1" applyProtection="1">
      <alignment horizontal="center"/>
    </xf>
    <xf numFmtId="0" fontId="37" fillId="13" borderId="79" xfId="3" applyFont="1" applyFill="1" applyBorder="1" applyAlignment="1" applyProtection="1">
      <alignment horizontal="center"/>
    </xf>
    <xf numFmtId="0" fontId="37" fillId="13" borderId="63" xfId="3" applyFont="1" applyFill="1" applyBorder="1" applyAlignment="1" applyProtection="1">
      <alignment horizontal="center"/>
    </xf>
    <xf numFmtId="0" fontId="118" fillId="13" borderId="103" xfId="3" applyFont="1" applyFill="1" applyBorder="1" applyAlignment="1" applyProtection="1">
      <alignment horizontal="center"/>
    </xf>
    <xf numFmtId="2" fontId="61" fillId="13" borderId="75" xfId="3" applyNumberFormat="1" applyFont="1" applyFill="1" applyBorder="1" applyAlignment="1" applyProtection="1">
      <alignment horizontal="center"/>
    </xf>
    <xf numFmtId="0" fontId="61" fillId="13" borderId="76" xfId="3" applyFont="1" applyFill="1" applyBorder="1" applyAlignment="1" applyProtection="1">
      <alignment horizontal="center"/>
    </xf>
    <xf numFmtId="0" fontId="103" fillId="3" borderId="87" xfId="3" applyFont="1" applyFill="1" applyBorder="1" applyAlignment="1" applyProtection="1">
      <alignment horizontal="center"/>
    </xf>
    <xf numFmtId="2" fontId="104" fillId="3" borderId="75" xfId="3" applyNumberFormat="1" applyFont="1" applyFill="1" applyBorder="1" applyAlignment="1" applyProtection="1">
      <alignment horizontal="center"/>
    </xf>
    <xf numFmtId="0" fontId="15" fillId="0" borderId="0" xfId="3" applyFont="1" applyAlignment="1" applyProtection="1">
      <alignment horizontal="center"/>
      <protection locked="0"/>
    </xf>
    <xf numFmtId="2" fontId="90" fillId="18" borderId="75" xfId="3" applyNumberFormat="1" applyFont="1" applyFill="1" applyBorder="1" applyAlignment="1" applyProtection="1">
      <alignment horizontal="center"/>
    </xf>
    <xf numFmtId="0" fontId="61" fillId="13" borderId="81" xfId="3" applyFont="1" applyFill="1" applyBorder="1" applyAlignment="1" applyProtection="1">
      <alignment horizontal="right"/>
    </xf>
    <xf numFmtId="0" fontId="15" fillId="0" borderId="1" xfId="3" applyFont="1" applyFill="1" applyBorder="1" applyProtection="1"/>
    <xf numFmtId="0" fontId="61" fillId="0" borderId="1" xfId="3" applyFont="1" applyFill="1" applyBorder="1" applyAlignment="1" applyProtection="1">
      <alignment horizontal="right"/>
    </xf>
    <xf numFmtId="0" fontId="77" fillId="0" borderId="1" xfId="3" applyFont="1" applyFill="1" applyBorder="1" applyAlignment="1" applyProtection="1">
      <alignment horizontal="right" vertical="center"/>
    </xf>
    <xf numFmtId="2" fontId="94" fillId="0" borderId="1" xfId="3" applyNumberFormat="1" applyFont="1" applyFill="1" applyBorder="1" applyAlignment="1" applyProtection="1">
      <alignment horizontal="right" vertical="center"/>
    </xf>
    <xf numFmtId="2" fontId="94" fillId="0" borderId="10" xfId="3" applyNumberFormat="1" applyFont="1" applyFill="1" applyBorder="1" applyAlignment="1" applyProtection="1">
      <alignment horizontal="right" vertical="center"/>
    </xf>
    <xf numFmtId="0" fontId="77" fillId="4" borderId="3" xfId="3" applyFont="1" applyFill="1" applyBorder="1" applyAlignment="1" applyProtection="1">
      <alignment horizontal="right" vertical="top"/>
    </xf>
    <xf numFmtId="0" fontId="37" fillId="13" borderId="96" xfId="3" applyFont="1" applyFill="1" applyBorder="1" applyAlignment="1" applyProtection="1">
      <alignment horizontal="center"/>
    </xf>
    <xf numFmtId="0" fontId="83" fillId="13" borderId="94" xfId="3" applyFont="1" applyFill="1" applyBorder="1" applyAlignment="1" applyProtection="1">
      <alignment horizontal="center" vertical="center"/>
    </xf>
    <xf numFmtId="0" fontId="37" fillId="13" borderId="90" xfId="3" applyFont="1" applyFill="1" applyBorder="1" applyAlignment="1" applyProtection="1">
      <alignment horizontal="center"/>
    </xf>
    <xf numFmtId="0" fontId="37" fillId="13" borderId="100" xfId="3" applyFont="1" applyFill="1" applyBorder="1" applyAlignment="1" applyProtection="1">
      <alignment horizontal="center"/>
    </xf>
    <xf numFmtId="0" fontId="66" fillId="13" borderId="75" xfId="3" applyFont="1" applyFill="1" applyBorder="1" applyAlignment="1" applyProtection="1">
      <alignment horizontal="center"/>
    </xf>
    <xf numFmtId="0" fontId="122" fillId="13" borderId="75" xfId="3" applyFont="1" applyFill="1" applyBorder="1" applyAlignment="1" applyProtection="1">
      <alignment horizontal="center" vertical="center" wrapText="1"/>
    </xf>
    <xf numFmtId="0" fontId="104" fillId="3" borderId="73" xfId="3" applyFont="1" applyFill="1" applyBorder="1" applyAlignment="1" applyProtection="1"/>
    <xf numFmtId="0" fontId="104" fillId="3" borderId="75" xfId="3" applyFont="1" applyFill="1" applyBorder="1" applyAlignment="1" applyProtection="1">
      <alignment horizontal="center"/>
    </xf>
    <xf numFmtId="2" fontId="104" fillId="3" borderId="76" xfId="3" applyNumberFormat="1" applyFont="1" applyFill="1" applyBorder="1" applyAlignment="1" applyProtection="1">
      <alignment horizontal="center"/>
    </xf>
    <xf numFmtId="0" fontId="15" fillId="11" borderId="73" xfId="3" applyFont="1" applyFill="1" applyBorder="1" applyAlignment="1" applyProtection="1">
      <alignment horizontal="center"/>
      <protection locked="0"/>
    </xf>
    <xf numFmtId="0" fontId="72" fillId="13" borderId="80" xfId="3" applyFont="1" applyFill="1" applyBorder="1" applyAlignment="1" applyProtection="1">
      <alignment vertical="center"/>
    </xf>
    <xf numFmtId="0" fontId="91" fillId="0" borderId="1" xfId="3" applyFont="1" applyFill="1" applyBorder="1" applyAlignment="1" applyProtection="1">
      <alignment horizontal="center"/>
    </xf>
    <xf numFmtId="2" fontId="94" fillId="0" borderId="1" xfId="3" applyNumberFormat="1" applyFont="1" applyFill="1" applyBorder="1" applyAlignment="1" applyProtection="1">
      <alignment horizontal="center" vertical="center"/>
    </xf>
    <xf numFmtId="2" fontId="94" fillId="0" borderId="10" xfId="3" applyNumberFormat="1" applyFont="1" applyFill="1" applyBorder="1" applyAlignment="1" applyProtection="1">
      <alignment horizontal="center" vertical="center"/>
    </xf>
    <xf numFmtId="0" fontId="112" fillId="13" borderId="75" xfId="3" applyFont="1" applyFill="1" applyBorder="1" applyAlignment="1" applyProtection="1">
      <alignment horizontal="center" vertical="center" wrapText="1"/>
    </xf>
    <xf numFmtId="0" fontId="123" fillId="18" borderId="87" xfId="3" applyFont="1" applyFill="1" applyBorder="1" applyProtection="1"/>
    <xf numFmtId="0" fontId="110" fillId="0" borderId="0" xfId="3" applyFont="1" applyFill="1" applyProtection="1"/>
    <xf numFmtId="0" fontId="15" fillId="0" borderId="0" xfId="3" applyFont="1" applyAlignment="1" applyProtection="1">
      <alignment vertical="center" wrapText="1"/>
    </xf>
    <xf numFmtId="0" fontId="15" fillId="0" borderId="0" xfId="3" applyFont="1" applyAlignment="1" applyProtection="1">
      <alignment horizontal="center" vertical="center" wrapText="1"/>
    </xf>
    <xf numFmtId="0" fontId="79" fillId="17" borderId="3" xfId="3" applyFont="1" applyFill="1" applyBorder="1" applyAlignment="1" applyProtection="1">
      <alignment horizontal="center"/>
    </xf>
    <xf numFmtId="0" fontId="79" fillId="17" borderId="4" xfId="3" applyFont="1" applyFill="1" applyBorder="1" applyAlignment="1" applyProtection="1">
      <alignment horizontal="left"/>
    </xf>
    <xf numFmtId="0" fontId="113" fillId="17" borderId="4" xfId="3" applyFont="1" applyFill="1" applyBorder="1" applyAlignment="1" applyProtection="1">
      <alignment horizontal="left"/>
    </xf>
    <xf numFmtId="0" fontId="113" fillId="17" borderId="31" xfId="3" applyFont="1" applyFill="1" applyBorder="1" applyAlignment="1" applyProtection="1">
      <alignment horizontal="left"/>
    </xf>
    <xf numFmtId="0" fontId="37" fillId="13" borderId="89" xfId="3" applyFont="1" applyFill="1" applyBorder="1" applyAlignment="1" applyProtection="1">
      <alignment horizontal="center" vertical="center" wrapText="1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90" xfId="3" applyFont="1" applyFill="1" applyBorder="1" applyAlignment="1" applyProtection="1">
      <alignment vertical="center" wrapText="1"/>
    </xf>
    <xf numFmtId="0" fontId="37" fillId="13" borderId="100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vertical="center"/>
    </xf>
    <xf numFmtId="0" fontId="112" fillId="0" borderId="0" xfId="3" applyFont="1" applyBorder="1" applyAlignment="1" applyProtection="1"/>
    <xf numFmtId="1" fontId="61" fillId="0" borderId="0" xfId="3" applyNumberFormat="1" applyFont="1" applyBorder="1" applyAlignment="1" applyProtection="1">
      <alignment horizontal="right"/>
    </xf>
    <xf numFmtId="1" fontId="61" fillId="0" borderId="0" xfId="3" applyNumberFormat="1" applyFont="1" applyBorder="1" applyAlignment="1" applyProtection="1">
      <alignment horizontal="center"/>
    </xf>
    <xf numFmtId="0" fontId="15" fillId="0" borderId="0" xfId="3" applyFont="1" applyBorder="1" applyAlignment="1" applyProtection="1">
      <alignment horizontal="center"/>
    </xf>
    <xf numFmtId="2" fontId="61" fillId="0" borderId="0" xfId="3" applyNumberFormat="1" applyFont="1" applyBorder="1" applyAlignment="1" applyProtection="1">
      <alignment horizontal="right"/>
    </xf>
    <xf numFmtId="0" fontId="72" fillId="0" borderId="0" xfId="3" applyFont="1" applyBorder="1" applyAlignment="1" applyProtection="1"/>
    <xf numFmtId="0" fontId="113" fillId="17" borderId="6" xfId="3" applyFont="1" applyFill="1" applyBorder="1" applyAlignment="1" applyProtection="1">
      <alignment horizontal="left" vertical="center"/>
    </xf>
    <xf numFmtId="0" fontId="108" fillId="4" borderId="6" xfId="3" applyFont="1" applyFill="1" applyBorder="1" applyAlignment="1" applyProtection="1">
      <alignment vertical="center"/>
    </xf>
    <xf numFmtId="0" fontId="15" fillId="13" borderId="31" xfId="3" applyFont="1" applyFill="1" applyBorder="1" applyAlignment="1" applyProtection="1">
      <alignment horizontal="center"/>
    </xf>
    <xf numFmtId="0" fontId="37" fillId="13" borderId="13" xfId="3" applyFont="1" applyFill="1" applyBorder="1" applyAlignment="1" applyProtection="1">
      <alignment horizontal="center"/>
    </xf>
    <xf numFmtId="0" fontId="61" fillId="13" borderId="22" xfId="3" applyFont="1" applyFill="1" applyBorder="1" applyAlignment="1" applyProtection="1">
      <alignment horizontal="center" vertical="center" wrapText="1"/>
    </xf>
    <xf numFmtId="0" fontId="37" fillId="13" borderId="9" xfId="3" applyFont="1" applyFill="1" applyBorder="1" applyAlignment="1" applyProtection="1">
      <alignment horizontal="center"/>
    </xf>
    <xf numFmtId="0" fontId="15" fillId="13" borderId="1" xfId="3" applyFont="1" applyFill="1" applyBorder="1" applyAlignment="1" applyProtection="1">
      <alignment horizontal="center"/>
    </xf>
    <xf numFmtId="0" fontId="15" fillId="13" borderId="10" xfId="3" applyFont="1" applyFill="1" applyBorder="1" applyAlignment="1" applyProtection="1">
      <alignment horizontal="center"/>
    </xf>
    <xf numFmtId="0" fontId="15" fillId="0" borderId="114" xfId="3" applyFont="1" applyBorder="1" applyAlignment="1" applyProtection="1">
      <alignment horizontal="center" vertical="top"/>
    </xf>
    <xf numFmtId="0" fontId="15" fillId="0" borderId="14" xfId="3" applyFont="1" applyBorder="1" applyAlignment="1" applyProtection="1">
      <alignment horizontal="center" vertical="center"/>
      <protection locked="0"/>
    </xf>
    <xf numFmtId="0" fontId="91" fillId="18" borderId="14" xfId="3" applyFont="1" applyFill="1" applyBorder="1" applyAlignment="1" applyProtection="1">
      <alignment horizontal="center" vertical="center"/>
    </xf>
    <xf numFmtId="2" fontId="91" fillId="18" borderId="14" xfId="3" applyNumberFormat="1" applyFont="1" applyFill="1" applyBorder="1" applyAlignment="1" applyProtection="1">
      <alignment horizontal="center" vertical="center"/>
    </xf>
    <xf numFmtId="0" fontId="15" fillId="12" borderId="115" xfId="3" applyFont="1" applyFill="1" applyBorder="1" applyProtection="1"/>
    <xf numFmtId="0" fontId="15" fillId="12" borderId="29" xfId="3" applyFont="1" applyFill="1" applyBorder="1" applyAlignment="1" applyProtection="1"/>
    <xf numFmtId="1" fontId="61" fillId="12" borderId="1" xfId="3" applyNumberFormat="1" applyFont="1" applyFill="1" applyBorder="1" applyAlignment="1" applyProtection="1">
      <alignment horizontal="right"/>
    </xf>
    <xf numFmtId="0" fontId="15" fillId="12" borderId="8" xfId="3" applyFont="1" applyFill="1" applyBorder="1" applyAlignment="1" applyProtection="1">
      <alignment horizontal="center"/>
    </xf>
    <xf numFmtId="2" fontId="61" fillId="12" borderId="8" xfId="3" applyNumberFormat="1" applyFont="1" applyFill="1" applyBorder="1" applyAlignment="1" applyProtection="1">
      <alignment horizontal="right"/>
    </xf>
    <xf numFmtId="0" fontId="15" fillId="0" borderId="0" xfId="3" applyFont="1" applyBorder="1" applyAlignment="1" applyProtection="1">
      <alignment vertical="center" wrapText="1"/>
    </xf>
    <xf numFmtId="0" fontId="61" fillId="13" borderId="78" xfId="3" applyFont="1" applyFill="1" applyBorder="1" applyAlignment="1" applyProtection="1">
      <alignment horizontal="center"/>
    </xf>
    <xf numFmtId="49" fontId="125" fillId="0" borderId="87" xfId="3" applyNumberFormat="1" applyFont="1" applyFill="1" applyBorder="1" applyProtection="1"/>
    <xf numFmtId="49" fontId="125" fillId="0" borderId="101" xfId="3" applyNumberFormat="1" applyFont="1" applyFill="1" applyBorder="1" applyProtection="1"/>
    <xf numFmtId="0" fontId="15" fillId="0" borderId="64" xfId="3" applyFont="1" applyFill="1" applyBorder="1" applyAlignment="1" applyProtection="1"/>
    <xf numFmtId="0" fontId="37" fillId="0" borderId="73" xfId="3" applyFont="1" applyBorder="1" applyAlignment="1" applyProtection="1">
      <alignment horizontal="center"/>
    </xf>
    <xf numFmtId="0" fontId="15" fillId="18" borderId="73" xfId="3" applyFont="1" applyFill="1" applyBorder="1" applyAlignment="1" applyProtection="1"/>
    <xf numFmtId="0" fontId="15" fillId="18" borderId="74" xfId="3" applyFont="1" applyFill="1" applyBorder="1" applyAlignment="1" applyProtection="1"/>
    <xf numFmtId="0" fontId="15" fillId="12" borderId="87" xfId="3" applyFont="1" applyFill="1" applyBorder="1" applyProtection="1"/>
    <xf numFmtId="0" fontId="15" fillId="12" borderId="101" xfId="3" applyFont="1" applyFill="1" applyBorder="1" applyProtection="1"/>
    <xf numFmtId="0" fontId="61" fillId="12" borderId="64" xfId="3" applyFont="1" applyFill="1" applyBorder="1" applyAlignment="1" applyProtection="1">
      <alignment horizontal="right"/>
    </xf>
    <xf numFmtId="0" fontId="37" fillId="12" borderId="72" xfId="3" applyFont="1" applyFill="1" applyBorder="1" applyAlignment="1" applyProtection="1">
      <alignment horizontal="right"/>
    </xf>
    <xf numFmtId="2" fontId="61" fillId="12" borderId="73" xfId="3" applyNumberFormat="1" applyFont="1" applyFill="1" applyBorder="1" applyAlignment="1" applyProtection="1">
      <alignment horizontal="right"/>
    </xf>
    <xf numFmtId="2" fontId="61" fillId="12" borderId="74" xfId="3" applyNumberFormat="1" applyFont="1" applyFill="1" applyBorder="1" applyAlignment="1" applyProtection="1">
      <alignment horizontal="right"/>
    </xf>
    <xf numFmtId="0" fontId="15" fillId="0" borderId="87" xfId="2" applyFont="1" applyFill="1" applyBorder="1" applyAlignment="1" applyProtection="1">
      <alignment vertical="top"/>
    </xf>
    <xf numFmtId="0" fontId="61" fillId="0" borderId="73" xfId="3" applyFont="1" applyBorder="1" applyAlignment="1" applyProtection="1">
      <alignment horizontal="center"/>
    </xf>
    <xf numFmtId="0" fontId="15" fillId="13" borderId="80" xfId="3" applyFont="1" applyFill="1" applyBorder="1" applyProtection="1"/>
    <xf numFmtId="0" fontId="94" fillId="13" borderId="82" xfId="3" applyFont="1" applyFill="1" applyBorder="1" applyAlignment="1" applyProtection="1">
      <alignment horizontal="right" vertical="center"/>
    </xf>
    <xf numFmtId="0" fontId="77" fillId="13" borderId="83" xfId="3" applyFont="1" applyFill="1" applyBorder="1" applyAlignment="1" applyProtection="1">
      <alignment horizontal="right" vertical="center"/>
    </xf>
    <xf numFmtId="0" fontId="94" fillId="0" borderId="0" xfId="3" applyFont="1" applyFill="1" applyBorder="1" applyAlignment="1" applyProtection="1">
      <alignment horizontal="center" vertical="center"/>
    </xf>
    <xf numFmtId="0" fontId="73" fillId="0" borderId="0" xfId="3" applyFont="1" applyAlignment="1" applyProtection="1">
      <alignment horizontal="center"/>
    </xf>
    <xf numFmtId="0" fontId="105" fillId="3" borderId="103" xfId="3" applyFont="1" applyFill="1" applyBorder="1" applyAlignment="1" applyProtection="1">
      <alignment horizontal="center" vertical="center"/>
    </xf>
    <xf numFmtId="1" fontId="104" fillId="3" borderId="75" xfId="3" applyNumberFormat="1" applyFont="1" applyFill="1" applyBorder="1" applyAlignment="1" applyProtection="1">
      <alignment horizontal="center" vertical="center"/>
    </xf>
    <xf numFmtId="2" fontId="104" fillId="3" borderId="75" xfId="3" applyNumberFormat="1" applyFont="1" applyFill="1" applyBorder="1" applyAlignment="1" applyProtection="1">
      <alignment horizontal="center" vertical="center"/>
    </xf>
    <xf numFmtId="2" fontId="104" fillId="3" borderId="74" xfId="3" applyNumberFormat="1" applyFont="1" applyFill="1" applyBorder="1" applyAlignment="1" applyProtection="1">
      <alignment horizontal="center" vertical="center"/>
    </xf>
    <xf numFmtId="0" fontId="15" fillId="18" borderId="87" xfId="3" applyFont="1" applyFill="1" applyBorder="1" applyAlignment="1" applyProtection="1">
      <alignment vertical="center"/>
    </xf>
    <xf numFmtId="0" fontId="121" fillId="18" borderId="103" xfId="3" applyFont="1" applyFill="1" applyBorder="1" applyAlignment="1" applyProtection="1">
      <alignment horizontal="center" vertical="center"/>
    </xf>
    <xf numFmtId="1" fontId="90" fillId="18" borderId="75" xfId="3" applyNumberFormat="1" applyFont="1" applyFill="1" applyBorder="1" applyAlignment="1" applyProtection="1">
      <alignment horizontal="center" vertical="center"/>
    </xf>
    <xf numFmtId="2" fontId="90" fillId="18" borderId="75" xfId="3" applyNumberFormat="1" applyFont="1" applyFill="1" applyBorder="1" applyAlignment="1" applyProtection="1">
      <alignment horizontal="center" vertical="center"/>
    </xf>
    <xf numFmtId="2" fontId="90" fillId="18" borderId="74" xfId="3" applyNumberFormat="1" applyFont="1" applyFill="1" applyBorder="1" applyAlignment="1" applyProtection="1">
      <alignment horizontal="center" vertical="center"/>
    </xf>
    <xf numFmtId="0" fontId="88" fillId="3" borderId="73" xfId="3" applyFont="1" applyFill="1" applyBorder="1" applyAlignment="1" applyProtection="1">
      <alignment horizontal="center" vertical="center" wrapText="1"/>
    </xf>
    <xf numFmtId="4" fontId="87" fillId="3" borderId="73" xfId="3" applyNumberFormat="1" applyFont="1" applyFill="1" applyBorder="1" applyAlignment="1" applyProtection="1">
      <alignment horizontal="center"/>
    </xf>
    <xf numFmtId="4" fontId="87" fillId="3" borderId="74" xfId="3" applyNumberFormat="1" applyFont="1" applyFill="1" applyBorder="1" applyAlignment="1" applyProtection="1">
      <alignment horizontal="center"/>
    </xf>
    <xf numFmtId="0" fontId="65" fillId="13" borderId="75" xfId="3" applyFont="1" applyFill="1" applyBorder="1" applyAlignment="1" applyProtection="1">
      <alignment horizontal="center"/>
    </xf>
    <xf numFmtId="0" fontId="128" fillId="0" borderId="0" xfId="3" applyFont="1" applyProtection="1"/>
    <xf numFmtId="0" fontId="74" fillId="0" borderId="0" xfId="1" applyFont="1" applyBorder="1" applyProtection="1"/>
    <xf numFmtId="0" fontId="73" fillId="0" borderId="0" xfId="10" applyFont="1" applyProtection="1"/>
    <xf numFmtId="0" fontId="76" fillId="0" borderId="0" xfId="10" applyFont="1" applyProtection="1"/>
    <xf numFmtId="0" fontId="73" fillId="0" borderId="0" xfId="10" applyFont="1" applyAlignment="1" applyProtection="1">
      <alignment horizontal="center"/>
    </xf>
    <xf numFmtId="0" fontId="73" fillId="0" borderId="0" xfId="10" applyFont="1" applyProtection="1">
      <protection locked="0"/>
    </xf>
    <xf numFmtId="0" fontId="73" fillId="0" borderId="0" xfId="10" applyFont="1" applyAlignment="1" applyProtection="1">
      <alignment horizontal="center"/>
      <protection locked="0"/>
    </xf>
    <xf numFmtId="0" fontId="129" fillId="0" borderId="0" xfId="1" applyFont="1" applyProtection="1"/>
    <xf numFmtId="0" fontId="77" fillId="0" borderId="86" xfId="10" applyFont="1" applyBorder="1" applyAlignment="1" applyProtection="1">
      <alignment horizontal="center" vertical="center"/>
    </xf>
    <xf numFmtId="0" fontId="77" fillId="0" borderId="67" xfId="10" applyFont="1" applyBorder="1" applyAlignment="1" applyProtection="1">
      <alignment horizontal="center" vertical="center"/>
    </xf>
    <xf numFmtId="0" fontId="77" fillId="0" borderId="68" xfId="10" applyFont="1" applyBorder="1" applyAlignment="1" applyProtection="1">
      <alignment horizontal="center" vertical="center" wrapText="1"/>
    </xf>
    <xf numFmtId="0" fontId="77" fillId="0" borderId="69" xfId="10" applyFont="1" applyBorder="1" applyAlignment="1" applyProtection="1">
      <alignment horizontal="center" vertical="center"/>
    </xf>
    <xf numFmtId="0" fontId="2" fillId="0" borderId="87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center" vertical="center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9" xfId="10" applyFont="1" applyBorder="1" applyAlignment="1" applyProtection="1">
      <alignment horizontal="center" vertical="center"/>
    </xf>
    <xf numFmtId="0" fontId="2" fillId="0" borderId="71" xfId="10" applyFont="1" applyBorder="1" applyAlignment="1" applyProtection="1">
      <alignment horizontal="center" vertical="center" wrapText="1"/>
    </xf>
    <xf numFmtId="0" fontId="2" fillId="0" borderId="93" xfId="10" applyFont="1" applyBorder="1" applyAlignment="1" applyProtection="1">
      <alignment horizontal="center" vertical="center"/>
    </xf>
    <xf numFmtId="0" fontId="2" fillId="0" borderId="99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102" xfId="10" applyFont="1" applyBorder="1" applyAlignment="1" applyProtection="1">
      <alignment horizontal="left" vertical="center" wrapText="1"/>
    </xf>
    <xf numFmtId="0" fontId="2" fillId="0" borderId="94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11" xfId="10" applyFont="1" applyBorder="1" applyAlignment="1" applyProtection="1">
      <alignment horizontal="center" vertical="center"/>
    </xf>
    <xf numFmtId="0" fontId="2" fillId="0" borderId="117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95" xfId="10" applyFont="1" applyBorder="1" applyAlignment="1" applyProtection="1">
      <alignment horizontal="left" vertical="center" wrapText="1"/>
    </xf>
    <xf numFmtId="0" fontId="2" fillId="0" borderId="109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37" fillId="0" borderId="11" xfId="10" applyFont="1" applyBorder="1" applyAlignment="1" applyProtection="1">
      <alignment horizontal="center" vertical="center" wrapText="1"/>
    </xf>
    <xf numFmtId="0" fontId="79" fillId="17" borderId="5" xfId="10" applyFont="1" applyFill="1" applyBorder="1" applyAlignment="1" applyProtection="1">
      <alignment horizontal="left"/>
    </xf>
    <xf numFmtId="0" fontId="79" fillId="17" borderId="6" xfId="10" applyFont="1" applyFill="1" applyBorder="1" applyAlignment="1" applyProtection="1">
      <alignment horizontal="left"/>
    </xf>
    <xf numFmtId="0" fontId="73" fillId="17" borderId="6" xfId="10" applyFont="1" applyFill="1" applyBorder="1" applyAlignment="1" applyProtection="1">
      <alignment horizontal="center"/>
    </xf>
    <xf numFmtId="0" fontId="95" fillId="17" borderId="6" xfId="10" applyFont="1" applyFill="1" applyBorder="1" applyAlignment="1" applyProtection="1">
      <alignment horizontal="center" wrapText="1"/>
    </xf>
    <xf numFmtId="0" fontId="73" fillId="17" borderId="6" xfId="10" applyFont="1" applyFill="1" applyBorder="1" applyAlignment="1" applyProtection="1">
      <alignment horizontal="center" wrapText="1"/>
    </xf>
    <xf numFmtId="0" fontId="96" fillId="17" borderId="6" xfId="10" applyFont="1" applyFill="1" applyBorder="1" applyAlignment="1" applyProtection="1">
      <alignment horizontal="center" wrapText="1"/>
    </xf>
    <xf numFmtId="2" fontId="131" fillId="17" borderId="6" xfId="10" applyNumberFormat="1" applyFont="1" applyFill="1" applyBorder="1" applyAlignment="1" applyProtection="1">
      <alignment horizontal="center" wrapText="1"/>
    </xf>
    <xf numFmtId="0" fontId="96" fillId="17" borderId="7" xfId="10" applyFont="1" applyFill="1" applyBorder="1" applyAlignment="1" applyProtection="1">
      <alignment horizontal="center" wrapText="1"/>
    </xf>
    <xf numFmtId="0" fontId="96" fillId="0" borderId="0" xfId="10" applyFont="1" applyFill="1" applyBorder="1" applyAlignment="1" applyProtection="1">
      <alignment horizontal="center" wrapText="1"/>
    </xf>
    <xf numFmtId="0" fontId="77" fillId="4" borderId="3" xfId="10" applyFont="1" applyFill="1" applyBorder="1" applyAlignment="1" applyProtection="1">
      <alignment horizontal="left" vertical="center"/>
    </xf>
    <xf numFmtId="0" fontId="77" fillId="4" borderId="4" xfId="10" applyFont="1" applyFill="1" applyBorder="1" applyAlignment="1" applyProtection="1">
      <alignment horizontal="left" vertical="center"/>
    </xf>
    <xf numFmtId="0" fontId="73" fillId="4" borderId="4" xfId="10" applyFont="1" applyFill="1" applyBorder="1" applyAlignment="1" applyProtection="1">
      <alignment vertical="center"/>
    </xf>
    <xf numFmtId="0" fontId="77" fillId="0" borderId="0" xfId="10" applyFont="1" applyFill="1" applyBorder="1" applyAlignment="1" applyProtection="1">
      <alignment vertical="center"/>
    </xf>
    <xf numFmtId="0" fontId="73" fillId="0" borderId="0" xfId="10" applyFont="1" applyAlignment="1" applyProtection="1">
      <alignment vertical="center"/>
      <protection locked="0"/>
    </xf>
    <xf numFmtId="0" fontId="73" fillId="0" borderId="0" xfId="10" applyFont="1" applyAlignment="1" applyProtection="1">
      <alignment horizontal="center" vertical="center"/>
      <protection locked="0"/>
    </xf>
    <xf numFmtId="0" fontId="73" fillId="0" borderId="0" xfId="10" applyFont="1" applyAlignment="1" applyProtection="1">
      <alignment vertical="center"/>
    </xf>
    <xf numFmtId="0" fontId="37" fillId="13" borderId="89" xfId="10" applyFont="1" applyFill="1" applyBorder="1" applyAlignment="1" applyProtection="1">
      <alignment horizontal="center" vertical="center" wrapText="1"/>
    </xf>
    <xf numFmtId="0" fontId="37" fillId="13" borderId="85" xfId="10" applyFont="1" applyFill="1" applyBorder="1" applyAlignment="1" applyProtection="1">
      <alignment horizontal="center"/>
    </xf>
    <xf numFmtId="0" fontId="37" fillId="13" borderId="85" xfId="10" applyFont="1" applyFill="1" applyBorder="1" applyAlignment="1" applyProtection="1">
      <alignment horizontal="center" vertical="center" wrapText="1"/>
    </xf>
    <xf numFmtId="0" fontId="132" fillId="13" borderId="85" xfId="10" applyFont="1" applyFill="1" applyBorder="1" applyAlignment="1" applyProtection="1">
      <alignment horizontal="center" vertical="center" wrapText="1"/>
    </xf>
    <xf numFmtId="0" fontId="132" fillId="13" borderId="78" xfId="10" applyFont="1" applyFill="1" applyBorder="1" applyAlignment="1" applyProtection="1">
      <alignment horizontal="center" vertical="center" wrapText="1"/>
    </xf>
    <xf numFmtId="0" fontId="37" fillId="13" borderId="93" xfId="10" applyFont="1" applyFill="1" applyBorder="1" applyAlignment="1" applyProtection="1">
      <alignment horizontal="center" vertical="center" wrapText="1"/>
    </xf>
    <xf numFmtId="0" fontId="37" fillId="13" borderId="94" xfId="10" applyFont="1" applyFill="1" applyBorder="1" applyAlignment="1" applyProtection="1">
      <alignment horizontal="center" vertical="center" wrapText="1"/>
    </xf>
    <xf numFmtId="0" fontId="37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37" fillId="13" borderId="90" xfId="10" applyFont="1" applyFill="1" applyBorder="1" applyAlignment="1" applyProtection="1">
      <alignment vertical="center" wrapText="1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132" fillId="13" borderId="75" xfId="10" applyFont="1" applyFill="1" applyBorder="1" applyAlignment="1" applyProtection="1">
      <alignment horizontal="center" vertical="center" wrapText="1"/>
    </xf>
    <xf numFmtId="0" fontId="132" fillId="13" borderId="76" xfId="10" applyFont="1" applyFill="1" applyBorder="1" applyAlignment="1" applyProtection="1">
      <alignment horizontal="center" vertical="center" wrapText="1"/>
    </xf>
    <xf numFmtId="0" fontId="72" fillId="13" borderId="93" xfId="1" applyFont="1" applyFill="1" applyBorder="1" applyAlignment="1" applyProtection="1">
      <alignment horizontal="center"/>
    </xf>
    <xf numFmtId="0" fontId="72" fillId="13" borderId="94" xfId="1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33" fillId="0" borderId="70" xfId="10" applyFont="1" applyBorder="1" applyProtection="1"/>
    <xf numFmtId="0" fontId="134" fillId="0" borderId="70" xfId="10" applyFont="1" applyBorder="1" applyProtection="1"/>
    <xf numFmtId="0" fontId="2" fillId="0" borderId="64" xfId="10" applyFont="1" applyBorder="1" applyAlignment="1" applyProtection="1"/>
    <xf numFmtId="0" fontId="2" fillId="0" borderId="64" xfId="10" applyFont="1" applyFill="1" applyBorder="1" applyAlignment="1" applyProtection="1"/>
    <xf numFmtId="0" fontId="2" fillId="0" borderId="71" xfId="10" applyFont="1" applyFill="1" applyBorder="1" applyAlignment="1" applyProtection="1"/>
    <xf numFmtId="188" fontId="89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123" fillId="18" borderId="87" xfId="10" applyFont="1" applyFill="1" applyBorder="1" applyAlignment="1" applyProtection="1">
      <alignment vertical="center"/>
    </xf>
    <xf numFmtId="0" fontId="2" fillId="0" borderId="101" xfId="10" applyFont="1" applyBorder="1" applyAlignment="1" applyProtection="1">
      <alignment horizontal="left" vertical="center"/>
      <protection locked="0"/>
    </xf>
    <xf numFmtId="3" fontId="2" fillId="0" borderId="73" xfId="10" applyNumberFormat="1" applyFont="1" applyBorder="1" applyAlignment="1" applyProtection="1">
      <alignment horizontal="center" vertical="center"/>
      <protection locked="0"/>
    </xf>
    <xf numFmtId="0" fontId="2" fillId="0" borderId="73" xfId="10" applyFont="1" applyBorder="1" applyAlignment="1" applyProtection="1">
      <alignment horizontal="center" vertical="center"/>
      <protection locked="0"/>
    </xf>
    <xf numFmtId="2" fontId="91" fillId="18" borderId="73" xfId="10" applyNumberFormat="1" applyFont="1" applyFill="1" applyBorder="1" applyAlignment="1" applyProtection="1">
      <alignment horizontal="center" vertical="center"/>
    </xf>
    <xf numFmtId="2" fontId="91" fillId="18" borderId="74" xfId="10" applyNumberFormat="1" applyFont="1" applyFill="1" applyBorder="1" applyAlignment="1" applyProtection="1">
      <alignment horizontal="center" vertical="center"/>
    </xf>
    <xf numFmtId="2" fontId="2" fillId="0" borderId="90" xfId="10" applyNumberFormat="1" applyFont="1" applyFill="1" applyBorder="1" applyAlignment="1" applyProtection="1">
      <alignment horizontal="center" vertical="center"/>
      <protection locked="0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188" fontId="2" fillId="0" borderId="71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87" xfId="10" applyNumberFormat="1" applyFont="1" applyFill="1" applyBorder="1" applyAlignment="1" applyProtection="1">
      <alignment horizontal="center" vertical="center"/>
      <protection locked="0"/>
    </xf>
    <xf numFmtId="0" fontId="2" fillId="15" borderId="70" xfId="10" applyFont="1" applyFill="1" applyBorder="1" applyAlignment="1" applyProtection="1"/>
    <xf numFmtId="0" fontId="2" fillId="12" borderId="64" xfId="10" applyFont="1" applyFill="1" applyBorder="1" applyProtection="1"/>
    <xf numFmtId="0" fontId="2" fillId="12" borderId="64" xfId="10" applyFont="1" applyFill="1" applyBorder="1" applyAlignment="1" applyProtection="1"/>
    <xf numFmtId="0" fontId="37" fillId="12" borderId="72" xfId="10" applyFont="1" applyFill="1" applyBorder="1" applyAlignment="1" applyProtection="1">
      <alignment horizontal="right"/>
    </xf>
    <xf numFmtId="0" fontId="2" fillId="12" borderId="73" xfId="10" applyFont="1" applyFill="1" applyBorder="1" applyAlignment="1" applyProtection="1"/>
    <xf numFmtId="2" fontId="61" fillId="12" borderId="73" xfId="10" applyNumberFormat="1" applyFont="1" applyFill="1" applyBorder="1" applyAlignment="1" applyProtection="1">
      <alignment horizontal="right"/>
    </xf>
    <xf numFmtId="2" fontId="61" fillId="12" borderId="74" xfId="10" applyNumberFormat="1" applyFont="1" applyFill="1" applyBorder="1" applyAlignment="1" applyProtection="1">
      <alignment horizontal="right"/>
    </xf>
    <xf numFmtId="2" fontId="61" fillId="12" borderId="87" xfId="10" applyNumberFormat="1" applyFont="1" applyFill="1" applyBorder="1" applyAlignment="1" applyProtection="1">
      <alignment horizontal="right"/>
    </xf>
    <xf numFmtId="2" fontId="61" fillId="12" borderId="101" xfId="10" applyNumberFormat="1" applyFont="1" applyFill="1" applyBorder="1" applyAlignment="1" applyProtection="1">
      <alignment horizontal="right"/>
    </xf>
    <xf numFmtId="2" fontId="135" fillId="12" borderId="101" xfId="10" applyNumberFormat="1" applyFont="1" applyFill="1" applyBorder="1" applyAlignment="1" applyProtection="1">
      <alignment horizontal="right"/>
    </xf>
    <xf numFmtId="2" fontId="61" fillId="12" borderId="64" xfId="10" applyNumberFormat="1" applyFont="1" applyFill="1" applyBorder="1" applyAlignment="1" applyProtection="1">
      <alignment horizontal="right"/>
    </xf>
    <xf numFmtId="2" fontId="61" fillId="12" borderId="71" xfId="10" applyNumberFormat="1" applyFont="1" applyFill="1" applyBorder="1" applyAlignment="1" applyProtection="1">
      <alignment horizontal="right"/>
    </xf>
    <xf numFmtId="1" fontId="135" fillId="0" borderId="0" xfId="10" applyNumberFormat="1" applyFont="1" applyFill="1" applyBorder="1" applyAlignment="1" applyProtection="1">
      <alignment horizontal="right"/>
    </xf>
    <xf numFmtId="0" fontId="72" fillId="13" borderId="90" xfId="1" applyFont="1" applyFill="1" applyBorder="1" applyAlignment="1" applyProtection="1">
      <alignment horizontal="center"/>
    </xf>
    <xf numFmtId="0" fontId="72" fillId="13" borderId="75" xfId="1" applyFont="1" applyFill="1" applyBorder="1" applyAlignment="1" applyProtection="1">
      <alignment horizontal="center"/>
    </xf>
    <xf numFmtId="0" fontId="133" fillId="0" borderId="70" xfId="10" applyFont="1" applyFill="1" applyBorder="1" applyProtection="1"/>
    <xf numFmtId="0" fontId="134" fillId="0" borderId="70" xfId="10" applyFont="1" applyFill="1" applyBorder="1" applyProtection="1"/>
    <xf numFmtId="0" fontId="2" fillId="0" borderId="64" xfId="10" applyFont="1" applyBorder="1" applyAlignment="1" applyProtection="1">
      <alignment horizontal="center"/>
    </xf>
    <xf numFmtId="0" fontId="91" fillId="0" borderId="64" xfId="10" applyFont="1" applyFill="1" applyBorder="1" applyAlignment="1" applyProtection="1">
      <alignment horizontal="center"/>
    </xf>
    <xf numFmtId="0" fontId="91" fillId="0" borderId="71" xfId="10" applyFont="1" applyFill="1" applyBorder="1" applyAlignment="1" applyProtection="1">
      <alignment horizontal="center"/>
    </xf>
    <xf numFmtId="188" fontId="89" fillId="0" borderId="0" xfId="10" applyNumberFormat="1" applyFont="1" applyFill="1" applyBorder="1" applyAlignment="1" applyProtection="1">
      <alignment horizontal="center"/>
    </xf>
    <xf numFmtId="2" fontId="2" fillId="0" borderId="79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70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37" fillId="12" borderId="83" xfId="10" applyFont="1" applyFill="1" applyBorder="1" applyAlignment="1" applyProtection="1">
      <alignment horizontal="right"/>
    </xf>
    <xf numFmtId="0" fontId="2" fillId="12" borderId="95" xfId="10" applyFont="1" applyFill="1" applyBorder="1" applyAlignment="1" applyProtection="1"/>
    <xf numFmtId="2" fontId="61" fillId="12" borderId="109" xfId="10" applyNumberFormat="1" applyFont="1" applyFill="1" applyBorder="1" applyAlignment="1" applyProtection="1"/>
    <xf numFmtId="2" fontId="61" fillId="12" borderId="110" xfId="10" applyNumberFormat="1" applyFont="1" applyFill="1" applyBorder="1" applyAlignment="1" applyProtection="1"/>
    <xf numFmtId="2" fontId="61" fillId="12" borderId="9" xfId="10" applyNumberFormat="1" applyFont="1" applyFill="1" applyBorder="1" applyAlignment="1" applyProtection="1"/>
    <xf numFmtId="2" fontId="61" fillId="12" borderId="81" xfId="10" applyNumberFormat="1" applyFont="1" applyFill="1" applyBorder="1" applyAlignment="1" applyProtection="1"/>
    <xf numFmtId="2" fontId="135" fillId="12" borderId="81" xfId="10" applyNumberFormat="1" applyFont="1" applyFill="1" applyBorder="1" applyAlignment="1" applyProtection="1"/>
    <xf numFmtId="2" fontId="61" fillId="12" borderId="119" xfId="10" applyNumberFormat="1" applyFont="1" applyFill="1" applyBorder="1" applyAlignment="1" applyProtection="1"/>
    <xf numFmtId="1" fontId="135" fillId="0" borderId="0" xfId="10" applyNumberFormat="1" applyFont="1" applyFill="1" applyBorder="1" applyAlignment="1" applyProtection="1"/>
    <xf numFmtId="0" fontId="37" fillId="13" borderId="3" xfId="10" applyFont="1" applyFill="1" applyBorder="1" applyAlignment="1" applyProtection="1">
      <alignment horizontal="center" vertical="center" wrapText="1"/>
    </xf>
    <xf numFmtId="0" fontId="84" fillId="13" borderId="107" xfId="10" applyFont="1" applyFill="1" applyBorder="1" applyAlignment="1" applyProtection="1">
      <alignment horizontal="center" vertical="center" wrapText="1"/>
    </xf>
    <xf numFmtId="0" fontId="37" fillId="13" borderId="104" xfId="10" applyFont="1" applyFill="1" applyBorder="1" applyAlignment="1" applyProtection="1">
      <alignment horizontal="center" vertical="center" wrapText="1"/>
    </xf>
    <xf numFmtId="0" fontId="37" fillId="13" borderId="107" xfId="10" applyFont="1" applyFill="1" applyBorder="1" applyAlignment="1" applyProtection="1">
      <alignment horizontal="center" vertical="center" wrapText="1"/>
    </xf>
    <xf numFmtId="0" fontId="37" fillId="13" borderId="12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84" fillId="13" borderId="75" xfId="10" applyFont="1" applyFill="1" applyBorder="1" applyAlignment="1" applyProtection="1">
      <alignment horizontal="center" vertical="center" wrapText="1"/>
    </xf>
    <xf numFmtId="0" fontId="37" fillId="0" borderId="64" xfId="2" applyFont="1" applyFill="1" applyBorder="1" applyAlignment="1" applyProtection="1">
      <alignment horizontal="center"/>
    </xf>
    <xf numFmtId="0" fontId="120" fillId="18" borderId="87" xfId="10" applyFont="1" applyFill="1" applyBorder="1" applyAlignment="1" applyProtection="1">
      <alignment vertical="center"/>
    </xf>
    <xf numFmtId="0" fontId="89" fillId="18" borderId="73" xfId="10" applyFont="1" applyFill="1" applyBorder="1" applyAlignment="1" applyProtection="1">
      <alignment horizontal="center" vertical="center"/>
    </xf>
    <xf numFmtId="0" fontId="61" fillId="12" borderId="1" xfId="10" applyFont="1" applyFill="1" applyBorder="1" applyAlignment="1" applyProtection="1">
      <alignment horizontal="right"/>
    </xf>
    <xf numFmtId="0" fontId="91" fillId="12" borderId="82" xfId="10" applyFont="1" applyFill="1" applyBorder="1" applyAlignment="1" applyProtection="1">
      <alignment horizontal="center"/>
    </xf>
    <xf numFmtId="2" fontId="61" fillId="12" borderId="83" xfId="10" applyNumberFormat="1" applyFont="1" applyFill="1" applyBorder="1" applyAlignment="1" applyProtection="1">
      <alignment horizontal="right"/>
    </xf>
    <xf numFmtId="2" fontId="61" fillId="12" borderId="84" xfId="10" applyNumberFormat="1" applyFont="1" applyFill="1" applyBorder="1" applyAlignment="1" applyProtection="1">
      <alignment horizontal="right"/>
    </xf>
    <xf numFmtId="2" fontId="61" fillId="12" borderId="80" xfId="10" applyNumberFormat="1" applyFont="1" applyFill="1" applyBorder="1" applyAlignment="1" applyProtection="1">
      <alignment horizontal="right"/>
    </xf>
    <xf numFmtId="2" fontId="61" fillId="12" borderId="81" xfId="10" applyNumberFormat="1" applyFont="1" applyFill="1" applyBorder="1" applyAlignment="1" applyProtection="1">
      <alignment horizontal="right"/>
    </xf>
    <xf numFmtId="2" fontId="135" fillId="12" borderId="81" xfId="10" applyNumberFormat="1" applyFont="1" applyFill="1" applyBorder="1" applyAlignment="1" applyProtection="1">
      <alignment horizontal="right"/>
    </xf>
    <xf numFmtId="2" fontId="61" fillId="12" borderId="119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73" fillId="13" borderId="6" xfId="10" applyFont="1" applyFill="1" applyBorder="1" applyAlignment="1" applyProtection="1">
      <alignment vertical="center"/>
    </xf>
    <xf numFmtId="0" fontId="77" fillId="13" borderId="120" xfId="10" applyFont="1" applyFill="1" applyBorder="1" applyAlignment="1" applyProtection="1">
      <alignment horizontal="right" vertical="center"/>
    </xf>
    <xf numFmtId="2" fontId="94" fillId="13" borderId="121" xfId="10" applyNumberFormat="1" applyFont="1" applyFill="1" applyBorder="1" applyAlignment="1" applyProtection="1">
      <alignment vertical="center"/>
    </xf>
    <xf numFmtId="2" fontId="94" fillId="13" borderId="122" xfId="10" applyNumberFormat="1" applyFont="1" applyFill="1" applyBorder="1" applyAlignment="1" applyProtection="1">
      <alignment vertical="center"/>
    </xf>
    <xf numFmtId="2" fontId="94" fillId="13" borderId="5" xfId="10" applyNumberFormat="1" applyFont="1" applyFill="1" applyBorder="1" applyAlignment="1" applyProtection="1">
      <alignment vertical="center"/>
    </xf>
    <xf numFmtId="2" fontId="94" fillId="13" borderId="6" xfId="10" applyNumberFormat="1" applyFont="1" applyFill="1" applyBorder="1" applyAlignment="1" applyProtection="1">
      <alignment vertical="center"/>
    </xf>
    <xf numFmtId="2" fontId="94" fillId="13" borderId="7" xfId="10" applyNumberFormat="1" applyFont="1" applyFill="1" applyBorder="1" applyAlignment="1" applyProtection="1">
      <alignment vertical="center"/>
    </xf>
    <xf numFmtId="2" fontId="94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73" fillId="0" borderId="4" xfId="10" applyFont="1" applyFill="1" applyBorder="1" applyAlignment="1" applyProtection="1">
      <alignment vertical="center"/>
    </xf>
    <xf numFmtId="0" fontId="94" fillId="0" borderId="4" xfId="10" applyFont="1" applyFill="1" applyBorder="1" applyAlignment="1" applyProtection="1">
      <alignment horizontal="right" vertical="center"/>
    </xf>
    <xf numFmtId="2" fontId="94" fillId="0" borderId="4" xfId="10" applyNumberFormat="1" applyFont="1" applyFill="1" applyBorder="1" applyAlignment="1" applyProtection="1">
      <alignment vertical="center"/>
    </xf>
    <xf numFmtId="2" fontId="94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73" fillId="4" borderId="4" xfId="10" applyFont="1" applyFill="1" applyBorder="1" applyAlignment="1" applyProtection="1">
      <alignment horizontal="center" vertical="center"/>
    </xf>
    <xf numFmtId="0" fontId="73" fillId="4" borderId="4" xfId="10" applyFont="1" applyFill="1" applyBorder="1" applyAlignment="1" applyProtection="1">
      <alignment horizontal="center" vertical="center" wrapText="1"/>
    </xf>
    <xf numFmtId="0" fontId="77" fillId="4" borderId="4" xfId="10" applyFont="1" applyFill="1" applyBorder="1" applyAlignment="1" applyProtection="1">
      <alignment horizontal="center" vertical="center" wrapText="1"/>
    </xf>
    <xf numFmtId="0" fontId="77" fillId="4" borderId="31" xfId="10" applyFont="1" applyFill="1" applyBorder="1" applyAlignment="1" applyProtection="1">
      <alignment horizontal="center" vertical="center" wrapText="1"/>
    </xf>
    <xf numFmtId="0" fontId="77" fillId="0" borderId="0" xfId="10" applyFont="1" applyFill="1" applyBorder="1" applyAlignment="1" applyProtection="1">
      <alignment horizontal="center" vertical="center"/>
    </xf>
    <xf numFmtId="0" fontId="37" fillId="13" borderId="85" xfId="10" applyFont="1" applyFill="1" applyBorder="1" applyAlignment="1" applyProtection="1">
      <alignment horizontal="center" vertical="top" wrapText="1"/>
    </xf>
    <xf numFmtId="0" fontId="37" fillId="13" borderId="93" xfId="10" applyFont="1" applyFill="1" applyBorder="1" applyAlignment="1" applyProtection="1">
      <alignment vertical="center" wrapText="1"/>
    </xf>
    <xf numFmtId="0" fontId="37" fillId="13" borderId="99" xfId="10" applyFont="1" applyFill="1" applyBorder="1" applyAlignment="1" applyProtection="1">
      <alignment vertical="top" wrapText="1"/>
    </xf>
    <xf numFmtId="0" fontId="37" fillId="13" borderId="0" xfId="10" applyFont="1" applyFill="1" applyBorder="1" applyAlignment="1" applyProtection="1">
      <alignment vertical="top" wrapText="1"/>
    </xf>
    <xf numFmtId="0" fontId="37" fillId="13" borderId="94" xfId="10" applyFont="1" applyFill="1" applyBorder="1" applyAlignment="1" applyProtection="1">
      <alignment horizontal="center" vertical="top" wrapText="1"/>
    </xf>
    <xf numFmtId="0" fontId="132" fillId="13" borderId="94" xfId="10" applyFont="1" applyFill="1" applyBorder="1" applyAlignment="1" applyProtection="1">
      <alignment horizontal="center" vertical="center" wrapText="1"/>
    </xf>
    <xf numFmtId="0" fontId="132" fillId="13" borderId="88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vertical="top" wrapText="1"/>
    </xf>
    <xf numFmtId="0" fontId="37" fillId="13" borderId="63" xfId="10" applyFont="1" applyFill="1" applyBorder="1" applyAlignment="1" applyProtection="1">
      <alignment vertical="top" wrapText="1"/>
    </xf>
    <xf numFmtId="0" fontId="37" fillId="13" borderId="75" xfId="10" applyFont="1" applyFill="1" applyBorder="1" applyAlignment="1" applyProtection="1">
      <alignment vertical="top" wrapText="1"/>
    </xf>
    <xf numFmtId="0" fontId="61" fillId="13" borderId="75" xfId="10" applyFont="1" applyFill="1" applyBorder="1" applyAlignment="1" applyProtection="1">
      <alignment horizontal="center" vertical="center" wrapText="1"/>
    </xf>
    <xf numFmtId="0" fontId="61" fillId="13" borderId="76" xfId="10" applyFont="1" applyFill="1" applyBorder="1" applyAlignment="1" applyProtection="1">
      <alignment horizontal="center" vertical="center" wrapText="1"/>
    </xf>
    <xf numFmtId="0" fontId="91" fillId="18" borderId="73" xfId="10" applyFont="1" applyFill="1" applyBorder="1" applyAlignment="1" applyProtection="1">
      <alignment horizontal="center" vertical="center"/>
    </xf>
    <xf numFmtId="2" fontId="2" fillId="0" borderId="126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31" xfId="10" applyNumberFormat="1" applyFont="1" applyFill="1" applyBorder="1" applyAlignment="1" applyProtection="1">
      <alignment horizontal="center" vertical="center"/>
      <protection locked="0"/>
    </xf>
    <xf numFmtId="0" fontId="2" fillId="15" borderId="91" xfId="10" applyFont="1" applyFill="1" applyBorder="1" applyAlignment="1" applyProtection="1"/>
    <xf numFmtId="0" fontId="2" fillId="12" borderId="137" xfId="10" applyFont="1" applyFill="1" applyBorder="1" applyProtection="1"/>
    <xf numFmtId="0" fontId="61" fillId="12" borderId="81" xfId="10" applyFont="1" applyFill="1" applyBorder="1" applyAlignment="1" applyProtection="1">
      <alignment horizontal="right"/>
    </xf>
    <xf numFmtId="0" fontId="37" fillId="12" borderId="82" xfId="10" applyFont="1" applyFill="1" applyBorder="1" applyAlignment="1" applyProtection="1">
      <alignment horizontal="right"/>
    </xf>
    <xf numFmtId="0" fontId="91" fillId="12" borderId="83" xfId="10" applyFont="1" applyFill="1" applyBorder="1" applyAlignment="1" applyProtection="1">
      <alignment horizontal="center"/>
    </xf>
    <xf numFmtId="2" fontId="61" fillId="12" borderId="111" xfId="10" applyNumberFormat="1" applyFont="1" applyFill="1" applyBorder="1" applyAlignment="1" applyProtection="1">
      <alignment horizontal="right"/>
    </xf>
    <xf numFmtId="2" fontId="135" fillId="12" borderId="137" xfId="10" applyNumberFormat="1" applyFont="1" applyFill="1" applyBorder="1" applyAlignment="1" applyProtection="1">
      <alignment horizontal="right"/>
    </xf>
    <xf numFmtId="2" fontId="61" fillId="12" borderId="82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61" fillId="0" borderId="0" xfId="10" applyFont="1" applyFill="1" applyBorder="1" applyAlignment="1" applyProtection="1">
      <alignment horizontal="right"/>
    </xf>
    <xf numFmtId="0" fontId="37" fillId="0" borderId="0" xfId="10" applyFont="1" applyFill="1" applyBorder="1" applyAlignment="1" applyProtection="1">
      <alignment horizontal="right"/>
    </xf>
    <xf numFmtId="0" fontId="91" fillId="0" borderId="0" xfId="10" applyFont="1" applyFill="1" applyBorder="1" applyAlignment="1" applyProtection="1">
      <alignment horizontal="center"/>
    </xf>
    <xf numFmtId="2" fontId="61" fillId="0" borderId="0" xfId="10" applyNumberFormat="1" applyFont="1" applyFill="1" applyBorder="1" applyAlignment="1" applyProtection="1">
      <alignment horizontal="right"/>
    </xf>
    <xf numFmtId="2" fontId="136" fillId="0" borderId="0" xfId="10" applyNumberFormat="1" applyFont="1" applyFill="1" applyBorder="1" applyAlignment="1" applyProtection="1">
      <alignment horizontal="right"/>
    </xf>
    <xf numFmtId="2" fontId="61" fillId="0" borderId="0" xfId="10" applyNumberFormat="1" applyFont="1" applyFill="1" applyBorder="1" applyProtection="1"/>
    <xf numFmtId="0" fontId="79" fillId="17" borderId="5" xfId="10" applyFont="1" applyFill="1" applyBorder="1" applyAlignment="1" applyProtection="1">
      <alignment horizontal="left" vertical="center"/>
    </xf>
    <xf numFmtId="0" fontId="79" fillId="17" borderId="6" xfId="10" applyFont="1" applyFill="1" applyBorder="1" applyAlignment="1" applyProtection="1">
      <alignment horizontal="left" vertical="center"/>
    </xf>
    <xf numFmtId="0" fontId="73" fillId="17" borderId="6" xfId="10" applyFont="1" applyFill="1" applyBorder="1" applyAlignment="1" applyProtection="1">
      <alignment horizontal="center" vertical="center"/>
    </xf>
    <xf numFmtId="0" fontId="95" fillId="17" borderId="6" xfId="10" applyFont="1" applyFill="1" applyBorder="1" applyAlignment="1" applyProtection="1">
      <alignment horizontal="center" vertical="center" wrapText="1"/>
    </xf>
    <xf numFmtId="0" fontId="73" fillId="17" borderId="6" xfId="10" applyFont="1" applyFill="1" applyBorder="1" applyAlignment="1" applyProtection="1">
      <alignment horizontal="center" vertical="center" wrapText="1"/>
    </xf>
    <xf numFmtId="0" fontId="96" fillId="17" borderId="6" xfId="10" applyFont="1" applyFill="1" applyBorder="1" applyAlignment="1" applyProtection="1">
      <alignment horizontal="center" vertical="center" wrapText="1"/>
    </xf>
    <xf numFmtId="0" fontId="131" fillId="17" borderId="6" xfId="10" applyFont="1" applyFill="1" applyBorder="1" applyAlignment="1" applyProtection="1">
      <alignment horizontal="center" vertical="center" wrapText="1"/>
    </xf>
    <xf numFmtId="0" fontId="96" fillId="17" borderId="7" xfId="10" applyFont="1" applyFill="1" applyBorder="1" applyAlignment="1" applyProtection="1">
      <alignment horizontal="center" vertical="center" wrapText="1"/>
    </xf>
    <xf numFmtId="0" fontId="95" fillId="4" borderId="4" xfId="10" applyFont="1" applyFill="1" applyBorder="1" applyAlignment="1" applyProtection="1">
      <alignment horizontal="center" vertical="center" wrapText="1"/>
    </xf>
    <xf numFmtId="0" fontId="96" fillId="4" borderId="4" xfId="10" applyFont="1" applyFill="1" applyBorder="1" applyAlignment="1" applyProtection="1">
      <alignment horizontal="center" vertical="center" wrapText="1"/>
    </xf>
    <xf numFmtId="0" fontId="96" fillId="4" borderId="31" xfId="10" applyFont="1" applyFill="1" applyBorder="1" applyAlignment="1" applyProtection="1">
      <alignment horizontal="center" vertical="center" wrapText="1"/>
    </xf>
    <xf numFmtId="0" fontId="37" fillId="13" borderId="89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132" fillId="13" borderId="85" xfId="10" applyFont="1" applyFill="1" applyBorder="1" applyAlignment="1" applyProtection="1">
      <alignment horizontal="center"/>
    </xf>
    <xf numFmtId="0" fontId="37" fillId="13" borderId="93" xfId="10" applyFont="1" applyFill="1" applyBorder="1" applyAlignment="1" applyProtection="1">
      <alignment horizontal="center"/>
    </xf>
    <xf numFmtId="0" fontId="37" fillId="13" borderId="99" xfId="10" applyFont="1" applyFill="1" applyBorder="1" applyAlignment="1" applyProtection="1"/>
    <xf numFmtId="0" fontId="112" fillId="13" borderId="0" xfId="10" applyFont="1" applyFill="1" applyBorder="1" applyAlignment="1" applyProtection="1">
      <alignment vertical="center"/>
    </xf>
    <xf numFmtId="0" fontId="112" fillId="13" borderId="102" xfId="10" applyFont="1" applyFill="1" applyBorder="1" applyAlignment="1" applyProtection="1">
      <alignment vertical="center"/>
    </xf>
    <xf numFmtId="0" fontId="37" fillId="13" borderId="102" xfId="10" applyFont="1" applyFill="1" applyBorder="1" applyAlignment="1" applyProtection="1">
      <alignment horizontal="center"/>
    </xf>
    <xf numFmtId="0" fontId="83" fillId="13" borderId="78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37" fillId="13" borderId="63" xfId="10" applyFont="1" applyFill="1" applyBorder="1" applyAlignment="1" applyProtection="1">
      <alignment horizontal="center" vertical="center"/>
    </xf>
    <xf numFmtId="0" fontId="72" fillId="13" borderId="103" xfId="10" applyFont="1" applyFill="1" applyBorder="1" applyAlignment="1" applyProtection="1">
      <alignment horizontal="center" vertical="center"/>
    </xf>
    <xf numFmtId="0" fontId="72" fillId="13" borderId="103" xfId="10" applyFont="1" applyFill="1" applyBorder="1" applyAlignment="1" applyProtection="1">
      <alignment horizontal="center" vertical="center" wrapText="1"/>
    </xf>
    <xf numFmtId="0" fontId="112" fillId="13" borderId="75" xfId="10" applyFont="1" applyFill="1" applyBorder="1" applyAlignment="1" applyProtection="1">
      <alignment horizontal="center" vertical="center" wrapText="1"/>
    </xf>
    <xf numFmtId="0" fontId="61" fillId="13" borderId="79" xfId="10" applyFont="1" applyFill="1" applyBorder="1" applyAlignment="1" applyProtection="1">
      <alignment horizontal="center" vertical="center" wrapText="1"/>
    </xf>
    <xf numFmtId="0" fontId="61" fillId="13" borderId="103" xfId="10" applyFont="1" applyFill="1" applyBorder="1" applyAlignment="1" applyProtection="1">
      <alignment horizontal="center" vertical="center" wrapText="1"/>
    </xf>
    <xf numFmtId="0" fontId="61" fillId="13" borderId="100" xfId="10" applyFont="1" applyFill="1" applyBorder="1" applyAlignment="1" applyProtection="1">
      <alignment horizontal="center" vertical="center" wrapText="1"/>
    </xf>
    <xf numFmtId="0" fontId="102" fillId="13" borderId="75" xfId="10" applyFont="1" applyFill="1" applyBorder="1" applyAlignment="1" applyProtection="1">
      <alignment horizontal="center" vertical="center"/>
    </xf>
    <xf numFmtId="0" fontId="83" fillId="13" borderId="76" xfId="10" applyFont="1" applyFill="1" applyBorder="1" applyAlignment="1" applyProtection="1">
      <alignment horizontal="center" vertical="center" wrapText="1"/>
    </xf>
    <xf numFmtId="0" fontId="86" fillId="3" borderId="90" xfId="10" applyFont="1" applyFill="1" applyBorder="1" applyAlignment="1" applyProtection="1">
      <alignment vertical="center" wrapText="1"/>
    </xf>
    <xf numFmtId="0" fontId="87" fillId="3" borderId="103" xfId="10" applyFont="1" applyFill="1" applyBorder="1" applyAlignment="1" applyProtection="1">
      <alignment horizontal="center" vertical="center"/>
    </xf>
    <xf numFmtId="0" fontId="87" fillId="3" borderId="73" xfId="10" applyFont="1" applyFill="1" applyBorder="1" applyAlignment="1" applyProtection="1">
      <alignment horizontal="center" vertical="center"/>
    </xf>
    <xf numFmtId="2" fontId="87" fillId="3" borderId="73" xfId="10" applyNumberFormat="1" applyFont="1" applyFill="1" applyBorder="1" applyAlignment="1" applyProtection="1">
      <alignment horizontal="center" vertical="center"/>
    </xf>
    <xf numFmtId="2" fontId="87" fillId="3" borderId="74" xfId="10" applyNumberFormat="1" applyFont="1" applyFill="1" applyBorder="1" applyAlignment="1" applyProtection="1">
      <alignment horizontal="center" vertical="center"/>
    </xf>
    <xf numFmtId="0" fontId="87" fillId="3" borderId="73" xfId="10" applyFont="1" applyFill="1" applyBorder="1" applyAlignment="1" applyProtection="1">
      <alignment horizontal="center" vertical="center" wrapText="1"/>
    </xf>
    <xf numFmtId="0" fontId="87" fillId="3" borderId="74" xfId="10" applyFont="1" applyFill="1" applyBorder="1" applyAlignment="1" applyProtection="1">
      <alignment horizontal="center" vertical="center" wrapText="1"/>
    </xf>
    <xf numFmtId="14" fontId="87" fillId="0" borderId="0" xfId="10" applyNumberFormat="1" applyFont="1" applyAlignment="1" applyProtection="1">
      <alignment vertical="center" wrapText="1"/>
      <protection locked="0"/>
    </xf>
    <xf numFmtId="0" fontId="87" fillId="0" borderId="0" xfId="10" applyFont="1" applyAlignment="1" applyProtection="1">
      <alignment vertical="center" wrapText="1"/>
      <protection locked="0"/>
    </xf>
    <xf numFmtId="0" fontId="87" fillId="0" borderId="0" xfId="10" applyFont="1" applyAlignment="1" applyProtection="1">
      <alignment horizontal="center" vertical="center" wrapText="1"/>
      <protection locked="0"/>
    </xf>
    <xf numFmtId="0" fontId="87" fillId="0" borderId="0" xfId="10" applyFont="1" applyAlignment="1" applyProtection="1">
      <alignment vertical="center" wrapText="1"/>
    </xf>
    <xf numFmtId="0" fontId="2" fillId="18" borderId="87" xfId="10" applyFont="1" applyFill="1" applyBorder="1" applyAlignment="1" applyProtection="1">
      <alignment vertical="center"/>
    </xf>
    <xf numFmtId="0" fontId="2" fillId="11" borderId="72" xfId="10" applyFont="1" applyFill="1" applyBorder="1" applyAlignment="1" applyProtection="1">
      <alignment horizontal="center" vertical="center"/>
      <protection locked="0"/>
    </xf>
    <xf numFmtId="0" fontId="2" fillId="11" borderId="73" xfId="10" applyFont="1" applyFill="1" applyBorder="1" applyAlignment="1" applyProtection="1">
      <alignment horizontal="center" vertical="center" wrapText="1"/>
      <protection locked="0"/>
    </xf>
    <xf numFmtId="0" fontId="2" fillId="11" borderId="74" xfId="10" applyFont="1" applyFill="1" applyBorder="1" applyAlignment="1" applyProtection="1">
      <alignment horizontal="center" vertical="center" wrapText="1"/>
      <protection locked="0"/>
    </xf>
    <xf numFmtId="0" fontId="2" fillId="11" borderId="72" xfId="10" applyFont="1" applyFill="1" applyBorder="1" applyAlignment="1" applyProtection="1">
      <alignment horizontal="center"/>
      <protection locked="0"/>
    </xf>
    <xf numFmtId="2" fontId="91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Alignment="1" applyProtection="1">
      <alignment horizontal="center" wrapText="1"/>
      <protection locked="0"/>
    </xf>
    <xf numFmtId="0" fontId="2" fillId="11" borderId="74" xfId="10" applyFont="1" applyFill="1" applyBorder="1" applyAlignment="1" applyProtection="1">
      <alignment horizontal="center" wrapText="1"/>
      <protection locked="0"/>
    </xf>
    <xf numFmtId="0" fontId="73" fillId="13" borderId="9" xfId="10" applyFont="1" applyFill="1" applyBorder="1" applyAlignment="1" applyProtection="1">
      <alignment vertical="center"/>
    </xf>
    <xf numFmtId="0" fontId="73" fillId="13" borderId="1" xfId="10" applyFont="1" applyFill="1" applyBorder="1" applyAlignment="1" applyProtection="1">
      <alignment vertical="center"/>
    </xf>
    <xf numFmtId="0" fontId="73" fillId="13" borderId="82" xfId="10" applyFont="1" applyFill="1" applyBorder="1" applyAlignment="1" applyProtection="1">
      <alignment vertical="center"/>
    </xf>
    <xf numFmtId="0" fontId="73" fillId="13" borderId="83" xfId="10" applyFont="1" applyFill="1" applyBorder="1" applyAlignment="1" applyProtection="1">
      <alignment vertical="center"/>
    </xf>
    <xf numFmtId="0" fontId="77" fillId="13" borderId="83" xfId="10" applyFont="1" applyFill="1" applyBorder="1" applyAlignment="1" applyProtection="1">
      <alignment horizontal="right" vertical="center"/>
    </xf>
    <xf numFmtId="2" fontId="94" fillId="13" borderId="83" xfId="10" applyNumberFormat="1" applyFont="1" applyFill="1" applyBorder="1" applyAlignment="1" applyProtection="1">
      <alignment horizontal="right" vertical="center"/>
    </xf>
    <xf numFmtId="2" fontId="94" fillId="13" borderId="84" xfId="10" applyNumberFormat="1" applyFont="1" applyFill="1" applyBorder="1" applyAlignment="1" applyProtection="1">
      <alignment horizontal="right" vertical="center"/>
    </xf>
    <xf numFmtId="2" fontId="94" fillId="13" borderId="9" xfId="10" applyNumberFormat="1" applyFont="1" applyFill="1" applyBorder="1" applyAlignment="1" applyProtection="1">
      <alignment horizontal="right" vertical="center"/>
    </xf>
    <xf numFmtId="2" fontId="94" fillId="13" borderId="95" xfId="10" applyNumberFormat="1" applyFont="1" applyFill="1" applyBorder="1" applyAlignment="1" applyProtection="1">
      <alignment horizontal="right" vertical="center"/>
    </xf>
    <xf numFmtId="2" fontId="94" fillId="13" borderId="137" xfId="10" applyNumberFormat="1" applyFont="1" applyFill="1" applyBorder="1" applyAlignment="1" applyProtection="1">
      <alignment horizontal="right" vertical="center"/>
    </xf>
    <xf numFmtId="0" fontId="97" fillId="13" borderId="82" xfId="10" applyFont="1" applyFill="1" applyBorder="1" applyAlignment="1" applyProtection="1">
      <alignment vertical="center"/>
    </xf>
    <xf numFmtId="0" fontId="97" fillId="13" borderId="109" xfId="10" applyFont="1" applyFill="1" applyBorder="1" applyAlignment="1" applyProtection="1">
      <alignment vertical="center"/>
    </xf>
    <xf numFmtId="0" fontId="97" fillId="13" borderId="83" xfId="10" applyFont="1" applyFill="1" applyBorder="1" applyAlignment="1" applyProtection="1">
      <alignment vertical="center"/>
    </xf>
    <xf numFmtId="0" fontId="97" fillId="13" borderId="84" xfId="10" applyFont="1" applyFill="1" applyBorder="1" applyAlignment="1" applyProtection="1">
      <alignment vertical="center"/>
    </xf>
    <xf numFmtId="0" fontId="73" fillId="0" borderId="5" xfId="10" applyFont="1" applyFill="1" applyBorder="1" applyAlignment="1" applyProtection="1">
      <alignment vertical="center"/>
    </xf>
    <xf numFmtId="0" fontId="73" fillId="0" borderId="6" xfId="10" applyFont="1" applyFill="1" applyBorder="1" applyAlignment="1" applyProtection="1">
      <alignment vertical="center"/>
    </xf>
    <xf numFmtId="0" fontId="77" fillId="0" borderId="6" xfId="10" applyFont="1" applyFill="1" applyBorder="1" applyAlignment="1" applyProtection="1">
      <alignment horizontal="right" vertical="center"/>
    </xf>
    <xf numFmtId="2" fontId="94" fillId="0" borderId="6" xfId="10" applyNumberFormat="1" applyFont="1" applyFill="1" applyBorder="1" applyAlignment="1" applyProtection="1">
      <alignment horizontal="right" vertical="center"/>
    </xf>
    <xf numFmtId="0" fontId="73" fillId="0" borderId="1" xfId="10" applyFont="1" applyFill="1" applyBorder="1" applyAlignment="1" applyProtection="1">
      <alignment vertical="center"/>
    </xf>
    <xf numFmtId="0" fontId="73" fillId="0" borderId="31" xfId="10" applyFont="1" applyFill="1" applyBorder="1" applyAlignment="1" applyProtection="1">
      <alignment vertical="center"/>
    </xf>
    <xf numFmtId="0" fontId="37" fillId="13" borderId="99" xfId="10" applyFont="1" applyFill="1" applyBorder="1" applyAlignment="1" applyProtection="1">
      <alignment horizontal="center"/>
    </xf>
    <xf numFmtId="0" fontId="72" fillId="13" borderId="99" xfId="10" applyFont="1" applyFill="1" applyBorder="1" applyAlignment="1" applyProtection="1">
      <alignment horizontal="center" vertical="center" wrapText="1"/>
    </xf>
    <xf numFmtId="0" fontId="61" fillId="13" borderId="102" xfId="10" applyFont="1" applyFill="1" applyBorder="1" applyAlignment="1" applyProtection="1">
      <alignment horizontal="center"/>
    </xf>
    <xf numFmtId="0" fontId="37" fillId="13" borderId="94" xfId="10" applyFont="1" applyFill="1" applyBorder="1" applyAlignment="1" applyProtection="1">
      <alignment horizontal="center"/>
    </xf>
    <xf numFmtId="49" fontId="86" fillId="3" borderId="87" xfId="2" applyNumberFormat="1" applyFont="1" applyFill="1" applyBorder="1" applyAlignment="1" applyProtection="1"/>
    <xf numFmtId="0" fontId="87" fillId="3" borderId="72" xfId="10" applyFont="1" applyFill="1" applyBorder="1" applyAlignment="1" applyProtection="1">
      <alignment horizontal="center"/>
    </xf>
    <xf numFmtId="0" fontId="87" fillId="3" borderId="73" xfId="10" applyFont="1" applyFill="1" applyBorder="1" applyAlignment="1" applyProtection="1">
      <alignment horizontal="center"/>
    </xf>
    <xf numFmtId="2" fontId="87" fillId="3" borderId="73" xfId="10" applyNumberFormat="1" applyFont="1" applyFill="1" applyBorder="1" applyAlignment="1" applyProtection="1">
      <alignment horizontal="center"/>
    </xf>
    <xf numFmtId="2" fontId="87" fillId="3" borderId="74" xfId="10" applyNumberFormat="1" applyFont="1" applyFill="1" applyBorder="1" applyAlignment="1" applyProtection="1">
      <alignment horizontal="center"/>
    </xf>
    <xf numFmtId="0" fontId="87" fillId="0" borderId="0" xfId="10" applyFont="1" applyProtection="1">
      <protection locked="0"/>
    </xf>
    <xf numFmtId="0" fontId="87" fillId="0" borderId="0" xfId="10" applyFont="1" applyProtection="1"/>
    <xf numFmtId="0" fontId="2" fillId="18" borderId="87" xfId="10" applyFont="1" applyFill="1" applyBorder="1" applyProtection="1"/>
    <xf numFmtId="0" fontId="90" fillId="18" borderId="73" xfId="10" applyFont="1" applyFill="1" applyBorder="1" applyAlignment="1" applyProtection="1">
      <alignment horizontal="center"/>
    </xf>
    <xf numFmtId="2" fontId="91" fillId="18" borderId="73" xfId="10" applyNumberFormat="1" applyFont="1" applyFill="1" applyBorder="1" applyAlignment="1" applyProtection="1">
      <alignment horizontal="center"/>
    </xf>
    <xf numFmtId="0" fontId="2" fillId="11" borderId="72" xfId="10" applyFont="1" applyFill="1" applyBorder="1" applyProtection="1">
      <protection locked="0"/>
    </xf>
    <xf numFmtId="0" fontId="37" fillId="13" borderId="82" xfId="10" applyFont="1" applyFill="1" applyBorder="1" applyAlignment="1" applyProtection="1">
      <alignment horizontal="right" vertical="center"/>
    </xf>
    <xf numFmtId="2" fontId="94" fillId="13" borderId="80" xfId="10" applyNumberFormat="1" applyFont="1" applyFill="1" applyBorder="1" applyAlignment="1" applyProtection="1">
      <alignment horizontal="right" vertical="center"/>
    </xf>
    <xf numFmtId="2" fontId="94" fillId="13" borderId="82" xfId="10" applyNumberFormat="1" applyFont="1" applyFill="1" applyBorder="1" applyAlignment="1" applyProtection="1">
      <alignment horizontal="right" vertical="center"/>
    </xf>
    <xf numFmtId="0" fontId="73" fillId="0" borderId="3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right" vertical="center"/>
    </xf>
    <xf numFmtId="2" fontId="94" fillId="0" borderId="4" xfId="10" applyNumberFormat="1" applyFont="1" applyFill="1" applyBorder="1" applyAlignment="1" applyProtection="1">
      <alignment horizontal="right" vertical="center"/>
    </xf>
    <xf numFmtId="0" fontId="73" fillId="0" borderId="0" xfId="10" applyFont="1" applyFill="1" applyBorder="1" applyAlignment="1" applyProtection="1">
      <alignment vertical="center"/>
    </xf>
    <xf numFmtId="0" fontId="73" fillId="0" borderId="13" xfId="10" applyFont="1" applyFill="1" applyBorder="1" applyAlignment="1" applyProtection="1">
      <alignment vertical="center"/>
    </xf>
    <xf numFmtId="0" fontId="77" fillId="4" borderId="5" xfId="10" applyFont="1" applyFill="1" applyBorder="1" applyAlignment="1" applyProtection="1">
      <alignment horizontal="left" vertical="center"/>
    </xf>
    <xf numFmtId="0" fontId="77" fillId="4" borderId="6" xfId="10" applyFont="1" applyFill="1" applyBorder="1" applyAlignment="1" applyProtection="1">
      <alignment horizontal="left" vertical="center"/>
    </xf>
    <xf numFmtId="0" fontId="100" fillId="4" borderId="6" xfId="10" applyFont="1" applyFill="1" applyBorder="1" applyAlignment="1" applyProtection="1">
      <alignment horizontal="left" vertical="center"/>
    </xf>
    <xf numFmtId="0" fontId="100" fillId="4" borderId="7" xfId="10" applyFont="1" applyFill="1" applyBorder="1" applyAlignment="1" applyProtection="1">
      <alignment horizontal="left" vertical="center"/>
    </xf>
    <xf numFmtId="0" fontId="37" fillId="13" borderId="0" xfId="10" applyFont="1" applyFill="1" applyBorder="1" applyAlignment="1" applyProtection="1">
      <alignment horizontal="center"/>
    </xf>
    <xf numFmtId="0" fontId="102" fillId="13" borderId="94" xfId="10" applyFont="1" applyFill="1" applyBorder="1" applyAlignment="1" applyProtection="1">
      <alignment horizontal="center" vertical="center"/>
    </xf>
    <xf numFmtId="0" fontId="87" fillId="3" borderId="103" xfId="10" applyFont="1" applyFill="1" applyBorder="1" applyAlignment="1" applyProtection="1">
      <alignment horizontal="center" vertical="center" wrapText="1"/>
    </xf>
    <xf numFmtId="2" fontId="90" fillId="18" borderId="73" xfId="10" applyNumberFormat="1" applyFont="1" applyFill="1" applyBorder="1" applyAlignment="1" applyProtection="1">
      <alignment horizontal="center" vertical="center"/>
    </xf>
    <xf numFmtId="0" fontId="140" fillId="13" borderId="82" xfId="10" applyFont="1" applyFill="1" applyBorder="1" applyAlignment="1" applyProtection="1">
      <alignment vertical="center"/>
    </xf>
    <xf numFmtId="0" fontId="73" fillId="0" borderId="9" xfId="10" applyFont="1" applyFill="1" applyBorder="1" applyAlignment="1" applyProtection="1">
      <alignment vertical="center"/>
    </xf>
    <xf numFmtId="0" fontId="77" fillId="0" borderId="1" xfId="10" applyFont="1" applyFill="1" applyBorder="1" applyAlignment="1" applyProtection="1">
      <alignment horizontal="right" vertical="center"/>
    </xf>
    <xf numFmtId="2" fontId="94" fillId="0" borderId="1" xfId="10" applyNumberFormat="1" applyFont="1" applyFill="1" applyBorder="1" applyAlignment="1" applyProtection="1">
      <alignment horizontal="right" vertical="center"/>
    </xf>
    <xf numFmtId="2" fontId="94" fillId="0" borderId="0" xfId="10" applyNumberFormat="1" applyFont="1" applyFill="1" applyBorder="1" applyAlignment="1" applyProtection="1">
      <alignment horizontal="right" vertical="center"/>
    </xf>
    <xf numFmtId="0" fontId="73" fillId="4" borderId="6" xfId="10" applyFont="1" applyFill="1" applyBorder="1" applyAlignment="1" applyProtection="1">
      <alignment horizontal="center" vertical="center"/>
    </xf>
    <xf numFmtId="0" fontId="73" fillId="4" borderId="6" xfId="10" applyFont="1" applyFill="1" applyBorder="1" applyAlignment="1" applyProtection="1">
      <alignment horizontal="center" vertical="center" wrapText="1"/>
    </xf>
    <xf numFmtId="0" fontId="77" fillId="4" borderId="6" xfId="10" applyFont="1" applyFill="1" applyBorder="1" applyAlignment="1" applyProtection="1">
      <alignment horizontal="center" vertical="center" wrapText="1"/>
    </xf>
    <xf numFmtId="0" fontId="77" fillId="4" borderId="7" xfId="10" applyFont="1" applyFill="1" applyBorder="1" applyAlignment="1" applyProtection="1">
      <alignment horizontal="center" vertical="center" wrapText="1"/>
    </xf>
    <xf numFmtId="0" fontId="77" fillId="0" borderId="4" xfId="10" applyFont="1" applyFill="1" applyBorder="1" applyAlignment="1" applyProtection="1">
      <alignment horizontal="right" vertical="center"/>
    </xf>
    <xf numFmtId="0" fontId="77" fillId="19" borderId="65" xfId="10" applyFont="1" applyFill="1" applyBorder="1" applyAlignment="1" applyProtection="1">
      <alignment vertical="center"/>
    </xf>
    <xf numFmtId="0" fontId="77" fillId="19" borderId="66" xfId="10" applyFont="1" applyFill="1" applyBorder="1" applyAlignment="1" applyProtection="1">
      <alignment vertical="center"/>
    </xf>
    <xf numFmtId="0" fontId="77" fillId="19" borderId="92" xfId="10" applyFont="1" applyFill="1" applyBorder="1" applyAlignment="1" applyProtection="1">
      <alignment vertical="center"/>
    </xf>
    <xf numFmtId="0" fontId="102" fillId="13" borderId="88" xfId="10" applyFont="1" applyFill="1" applyBorder="1" applyAlignment="1" applyProtection="1">
      <alignment horizontal="center" vertical="center"/>
    </xf>
    <xf numFmtId="0" fontId="37" fillId="0" borderId="0" xfId="10" applyFont="1" applyFill="1" applyBorder="1" applyAlignment="1" applyProtection="1">
      <alignment horizontal="center"/>
    </xf>
    <xf numFmtId="0" fontId="83" fillId="0" borderId="0" xfId="10" applyFont="1" applyFill="1" applyBorder="1" applyAlignment="1" applyProtection="1"/>
    <xf numFmtId="0" fontId="61" fillId="13" borderId="63" xfId="10" applyFont="1" applyFill="1" applyBorder="1" applyAlignment="1" applyProtection="1">
      <alignment horizontal="center" vertical="center" wrapText="1"/>
    </xf>
    <xf numFmtId="0" fontId="83" fillId="0" borderId="0" xfId="10" applyFont="1" applyFill="1" applyBorder="1" applyAlignment="1" applyProtection="1">
      <alignment horizontal="center" vertical="center" wrapText="1"/>
    </xf>
    <xf numFmtId="0" fontId="87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94" fillId="13" borderId="81" xfId="10" applyNumberFormat="1" applyFont="1" applyFill="1" applyBorder="1" applyAlignment="1" applyProtection="1">
      <alignment horizontal="right" vertical="center"/>
    </xf>
    <xf numFmtId="0" fontId="97" fillId="0" borderId="0" xfId="10" applyFont="1" applyFill="1" applyBorder="1" applyAlignment="1" applyProtection="1">
      <alignment vertical="center"/>
    </xf>
    <xf numFmtId="2" fontId="94" fillId="0" borderId="31" xfId="10" applyNumberFormat="1" applyFont="1" applyFill="1" applyBorder="1" applyAlignment="1" applyProtection="1">
      <alignment horizontal="right" vertical="center"/>
    </xf>
    <xf numFmtId="0" fontId="67" fillId="0" borderId="0" xfId="10" applyFont="1" applyFill="1" applyAlignment="1" applyProtection="1"/>
    <xf numFmtId="187" fontId="77" fillId="4" borderId="5" xfId="10" applyNumberFormat="1" applyFont="1" applyFill="1" applyBorder="1" applyAlignment="1" applyProtection="1">
      <alignment horizontal="left" vertical="center"/>
    </xf>
    <xf numFmtId="0" fontId="77" fillId="4" borderId="7" xfId="10" applyFont="1" applyFill="1" applyBorder="1" applyAlignment="1" applyProtection="1">
      <alignment horizontal="left" vertical="center"/>
    </xf>
    <xf numFmtId="0" fontId="37" fillId="13" borderId="107" xfId="10" applyFont="1" applyFill="1" applyBorder="1" applyAlignment="1" applyProtection="1">
      <alignment horizontal="center"/>
    </xf>
    <xf numFmtId="0" fontId="132" fillId="13" borderId="108" xfId="10" applyFont="1" applyFill="1" applyBorder="1" applyAlignment="1" applyProtection="1">
      <alignment horizontal="center" vertical="center" wrapText="1"/>
    </xf>
    <xf numFmtId="0" fontId="72" fillId="13" borderId="75" xfId="10" applyFont="1" applyFill="1" applyBorder="1" applyAlignment="1" applyProtection="1">
      <alignment horizontal="center" vertical="center" wrapText="1"/>
    </xf>
    <xf numFmtId="0" fontId="2" fillId="11" borderId="73" xfId="10" applyFont="1" applyFill="1" applyBorder="1" applyAlignment="1" applyProtection="1">
      <alignment horizontal="center"/>
      <protection locked="0"/>
    </xf>
    <xf numFmtId="2" fontId="90" fillId="18" borderId="73" xfId="10" applyNumberFormat="1" applyFont="1" applyFill="1" applyBorder="1" applyAlignment="1" applyProtection="1">
      <alignment horizontal="center"/>
    </xf>
    <xf numFmtId="2" fontId="90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Protection="1">
      <protection locked="0"/>
    </xf>
    <xf numFmtId="0" fontId="37" fillId="0" borderId="1" xfId="10" applyFont="1" applyFill="1" applyBorder="1" applyAlignment="1" applyProtection="1">
      <alignment horizontal="right" vertical="center"/>
    </xf>
    <xf numFmtId="2" fontId="94" fillId="0" borderId="10" xfId="10" applyNumberFormat="1" applyFont="1" applyFill="1" applyBorder="1" applyAlignment="1" applyProtection="1">
      <alignment horizontal="right" vertical="center"/>
    </xf>
    <xf numFmtId="187" fontId="77" fillId="4" borderId="3" xfId="10" applyNumberFormat="1" applyFont="1" applyFill="1" applyBorder="1" applyAlignment="1" applyProtection="1">
      <alignment horizontal="left" vertical="center"/>
    </xf>
    <xf numFmtId="0" fontId="77" fillId="4" borderId="31" xfId="10" applyFont="1" applyFill="1" applyBorder="1" applyAlignment="1" applyProtection="1">
      <alignment horizontal="left" vertical="center"/>
    </xf>
    <xf numFmtId="0" fontId="77" fillId="0" borderId="0" xfId="10" applyFont="1" applyFill="1" applyBorder="1" applyAlignment="1" applyProtection="1">
      <alignment horizontal="left" vertical="center"/>
    </xf>
    <xf numFmtId="0" fontId="73" fillId="0" borderId="0" xfId="10" applyFont="1" applyFill="1" applyAlignment="1" applyProtection="1">
      <alignment vertic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0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horizontal="center"/>
    </xf>
    <xf numFmtId="0" fontId="61" fillId="13" borderId="100" xfId="10" applyFont="1" applyFill="1" applyBorder="1" applyAlignment="1" applyProtection="1">
      <alignment horizontal="center"/>
    </xf>
    <xf numFmtId="0" fontId="2" fillId="13" borderId="112" xfId="10" applyFont="1" applyFill="1" applyBorder="1" applyAlignment="1" applyProtection="1"/>
    <xf numFmtId="0" fontId="2" fillId="18" borderId="87" xfId="10" applyFont="1" applyFill="1" applyBorder="1" applyAlignment="1" applyProtection="1">
      <alignment horizontal="left"/>
    </xf>
    <xf numFmtId="0" fontId="2" fillId="0" borderId="101" xfId="10" applyFont="1" applyFill="1" applyBorder="1" applyAlignment="1" applyProtection="1">
      <alignment horizontal="left"/>
    </xf>
    <xf numFmtId="0" fontId="2" fillId="0" borderId="73" xfId="10" applyFont="1" applyFill="1" applyBorder="1" applyAlignment="1" applyProtection="1">
      <alignment horizontal="center" vertical="center"/>
      <protection locked="0"/>
    </xf>
    <xf numFmtId="0" fontId="91" fillId="18" borderId="73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73" xfId="10" applyFont="1" applyFill="1" applyBorder="1" applyAlignment="1" applyProtection="1">
      <alignment horizontal="center" vertical="center" wrapText="1"/>
      <protection locked="0"/>
    </xf>
    <xf numFmtId="0" fontId="2" fillId="0" borderId="101" xfId="10" applyFont="1" applyFill="1" applyBorder="1" applyProtection="1"/>
    <xf numFmtId="0" fontId="2" fillId="13" borderId="80" xfId="10" applyFont="1" applyFill="1" applyBorder="1" applyAlignment="1" applyProtection="1">
      <alignment vertical="center"/>
    </xf>
    <xf numFmtId="0" fontId="2" fillId="13" borderId="81" xfId="10" applyFont="1" applyFill="1" applyBorder="1" applyAlignment="1" applyProtection="1">
      <alignment vertical="center"/>
    </xf>
    <xf numFmtId="0" fontId="2" fillId="13" borderId="83" xfId="10" applyFont="1" applyFill="1" applyBorder="1" applyAlignment="1" applyProtection="1">
      <alignment vertical="center"/>
    </xf>
    <xf numFmtId="0" fontId="37" fillId="13" borderId="83" xfId="10" applyFont="1" applyFill="1" applyBorder="1" applyAlignment="1" applyProtection="1">
      <alignment horizontal="right" vertical="center"/>
    </xf>
    <xf numFmtId="0" fontId="2" fillId="13" borderId="137" xfId="10" applyFont="1" applyFill="1" applyBorder="1" applyAlignment="1" applyProtection="1">
      <alignment vertical="center"/>
    </xf>
    <xf numFmtId="0" fontId="2" fillId="13" borderId="119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73" fillId="0" borderId="0" xfId="10" applyNumberFormat="1" applyFont="1" applyProtection="1">
      <protection locked="0"/>
    </xf>
    <xf numFmtId="14" fontId="73" fillId="0" borderId="0" xfId="10" applyNumberFormat="1" applyFont="1" applyAlignment="1" applyProtection="1">
      <alignment vertical="center"/>
      <protection locked="0"/>
    </xf>
    <xf numFmtId="189" fontId="73" fillId="0" borderId="0" xfId="10" applyNumberFormat="1" applyFont="1" applyProtection="1">
      <protection locked="0"/>
    </xf>
    <xf numFmtId="188" fontId="73" fillId="0" borderId="0" xfId="3" applyNumberFormat="1" applyFont="1" applyProtection="1"/>
    <xf numFmtId="0" fontId="64" fillId="0" borderId="1" xfId="9" applyFont="1" applyFill="1" applyBorder="1" applyAlignment="1" applyProtection="1">
      <alignment horizontal="center" vertical="center"/>
    </xf>
    <xf numFmtId="0" fontId="64" fillId="0" borderId="10" xfId="9" applyFont="1" applyFill="1" applyBorder="1" applyAlignment="1" applyProtection="1">
      <alignment horizontal="center" vertical="center"/>
    </xf>
    <xf numFmtId="0" fontId="64" fillId="0" borderId="9" xfId="9" applyFont="1" applyFill="1" applyBorder="1" applyAlignment="1" applyProtection="1">
      <alignment horizontal="left" vertical="center"/>
    </xf>
    <xf numFmtId="0" fontId="15" fillId="0" borderId="14" xfId="9" applyFill="1" applyBorder="1" applyAlignment="1" applyProtection="1">
      <alignment horizontal="center" vertical="center"/>
    </xf>
    <xf numFmtId="0" fontId="15" fillId="0" borderId="24" xfId="9" applyFill="1" applyBorder="1" applyAlignment="1" applyProtection="1">
      <alignment horizontal="center" vertical="center"/>
    </xf>
    <xf numFmtId="190" fontId="15" fillId="0" borderId="0" xfId="3" applyNumberFormat="1" applyFont="1" applyAlignment="1" applyProtection="1"/>
    <xf numFmtId="190" fontId="15" fillId="0" borderId="0" xfId="3" applyNumberFormat="1" applyFont="1" applyAlignment="1" applyProtection="1">
      <alignment horizontal="center"/>
      <protection locked="0"/>
    </xf>
    <xf numFmtId="190" fontId="73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73" fillId="0" borderId="0" xfId="10" applyFont="1" applyFill="1" applyProtection="1"/>
    <xf numFmtId="0" fontId="142" fillId="0" borderId="0" xfId="10" applyFont="1" applyFill="1" applyBorder="1" applyProtection="1"/>
    <xf numFmtId="0" fontId="76" fillId="0" borderId="0" xfId="10" applyFont="1" applyFill="1" applyProtection="1"/>
    <xf numFmtId="0" fontId="2" fillId="0" borderId="85" xfId="10" applyFont="1" applyBorder="1" applyAlignment="1" applyProtection="1">
      <alignment horizontal="center" vertical="center" wrapText="1"/>
    </xf>
    <xf numFmtId="0" fontId="2" fillId="0" borderId="78" xfId="10" applyFont="1" applyBorder="1" applyAlignment="1" applyProtection="1">
      <alignment horizontal="center" vertical="center" wrapText="1"/>
    </xf>
    <xf numFmtId="0" fontId="67" fillId="0" borderId="73" xfId="10" applyFont="1" applyBorder="1" applyAlignment="1" applyProtection="1">
      <alignment horizontal="center" vertical="top" wrapText="1"/>
    </xf>
    <xf numFmtId="0" fontId="67" fillId="0" borderId="83" xfId="10" applyFont="1" applyBorder="1" applyAlignment="1" applyProtection="1">
      <alignment horizontal="center" vertical="top" wrapText="1"/>
    </xf>
    <xf numFmtId="0" fontId="79" fillId="17" borderId="11" xfId="10" applyFont="1" applyFill="1" applyBorder="1" applyAlignment="1" applyProtection="1">
      <alignment horizontal="left"/>
    </xf>
    <xf numFmtId="0" fontId="73" fillId="17" borderId="6" xfId="10" applyFont="1" applyFill="1" applyBorder="1" applyProtection="1"/>
    <xf numFmtId="0" fontId="77" fillId="17" borderId="7" xfId="10" applyFont="1" applyFill="1" applyBorder="1" applyAlignment="1" applyProtection="1">
      <alignment horizontal="center" wrapText="1"/>
    </xf>
    <xf numFmtId="0" fontId="61" fillId="13" borderId="107" xfId="10" applyFont="1" applyFill="1" applyBorder="1" applyAlignment="1" applyProtection="1">
      <alignment horizontal="center"/>
    </xf>
    <xf numFmtId="0" fontId="61" fillId="13" borderId="107" xfId="10" applyFont="1" applyFill="1" applyBorder="1" applyAlignment="1" applyProtection="1">
      <alignment horizontal="center" vertical="center" wrapText="1"/>
    </xf>
    <xf numFmtId="0" fontId="61" fillId="13" borderId="108" xfId="10" applyFont="1" applyFill="1" applyBorder="1" applyAlignment="1" applyProtection="1">
      <alignment horizontal="center"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102" fillId="13" borderId="75" xfId="10" applyFont="1" applyFill="1" applyBorder="1" applyAlignment="1" applyProtection="1">
      <alignment horizontal="center"/>
    </xf>
    <xf numFmtId="1" fontId="91" fillId="18" borderId="73" xfId="10" applyNumberFormat="1" applyFont="1" applyFill="1" applyBorder="1" applyAlignment="1" applyProtection="1">
      <alignment horizontal="center"/>
    </xf>
    <xf numFmtId="0" fontId="2" fillId="12" borderId="80" xfId="10" applyFont="1" applyFill="1" applyBorder="1" applyProtection="1"/>
    <xf numFmtId="0" fontId="61" fillId="12" borderId="81" xfId="10" applyFont="1" applyFill="1" applyBorder="1" applyAlignment="1" applyProtection="1">
      <alignment horizontal="center"/>
    </xf>
    <xf numFmtId="0" fontId="2" fillId="12" borderId="81" xfId="10" applyFont="1" applyFill="1" applyBorder="1" applyAlignment="1" applyProtection="1">
      <alignment horizontal="center"/>
    </xf>
    <xf numFmtId="0" fontId="143" fillId="12" borderId="81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61" fillId="0" borderId="4" xfId="10" applyFont="1" applyFill="1" applyBorder="1" applyAlignment="1" applyProtection="1">
      <alignment horizontal="right"/>
    </xf>
    <xf numFmtId="0" fontId="61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61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61" fillId="0" borderId="1" xfId="10" applyFont="1" applyFill="1" applyBorder="1" applyAlignment="1" applyProtection="1">
      <alignment horizontal="right"/>
    </xf>
    <xf numFmtId="0" fontId="61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61" fillId="0" borderId="1" xfId="10" applyNumberFormat="1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  <protection locked="0"/>
    </xf>
    <xf numFmtId="0" fontId="37" fillId="13" borderId="100" xfId="10" applyFont="1" applyFill="1" applyBorder="1" applyAlignment="1" applyProtection="1">
      <alignment horizontal="left" vertical="center" wrapText="1"/>
    </xf>
    <xf numFmtId="0" fontId="94" fillId="0" borderId="0" xfId="10" applyFont="1" applyFill="1" applyBorder="1" applyAlignment="1" applyProtection="1">
      <alignment horizontal="right" vertical="center"/>
    </xf>
    <xf numFmtId="0" fontId="94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61" fillId="0" borderId="4" xfId="10" applyNumberFormat="1" applyFont="1" applyFill="1" applyBorder="1" applyAlignment="1" applyProtection="1">
      <alignment horizontal="right" vertical="center"/>
    </xf>
    <xf numFmtId="0" fontId="61" fillId="0" borderId="0" xfId="10" applyFont="1" applyFill="1" applyBorder="1" applyAlignment="1" applyProtection="1">
      <alignment horizontal="right" vertical="center"/>
    </xf>
    <xf numFmtId="2" fontId="61" fillId="0" borderId="0" xfId="10" applyNumberFormat="1" applyFont="1" applyFill="1" applyBorder="1" applyAlignment="1" applyProtection="1">
      <alignment horizontal="right" vertical="center"/>
    </xf>
    <xf numFmtId="0" fontId="37" fillId="13" borderId="0" xfId="10" applyFont="1" applyFill="1" applyBorder="1" applyAlignment="1" applyProtection="1">
      <alignment horizontal="center" vertical="center" wrapText="1"/>
    </xf>
    <xf numFmtId="0" fontId="145" fillId="13" borderId="102" xfId="10" applyFont="1" applyFill="1" applyBorder="1" applyAlignment="1" applyProtection="1">
      <alignment horizontal="center" vertical="center" wrapText="1"/>
    </xf>
    <xf numFmtId="0" fontId="102" fillId="13" borderId="94" xfId="10" applyFont="1" applyFill="1" applyBorder="1" applyAlignment="1" applyProtection="1">
      <alignment horizontal="center"/>
    </xf>
    <xf numFmtId="0" fontId="61" fillId="13" borderId="94" xfId="10" applyFont="1" applyFill="1" applyBorder="1" applyAlignment="1" applyProtection="1">
      <alignment horizontal="center" vertical="center" wrapText="1"/>
    </xf>
    <xf numFmtId="0" fontId="61" fillId="13" borderId="88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73" fillId="4" borderId="6" xfId="10" applyFont="1" applyFill="1" applyBorder="1" applyAlignment="1" applyProtection="1">
      <alignment vertical="center"/>
    </xf>
    <xf numFmtId="0" fontId="2" fillId="0" borderId="87" xfId="10" applyFont="1" applyBorder="1" applyProtection="1"/>
    <xf numFmtId="0" fontId="2" fillId="0" borderId="73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61" fillId="0" borderId="10" xfId="10" applyNumberFormat="1" applyFont="1" applyFill="1" applyBorder="1" applyAlignment="1" applyProtection="1">
      <alignment horizontal="right"/>
    </xf>
    <xf numFmtId="0" fontId="66" fillId="13" borderId="107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66" fillId="13" borderId="94" xfId="10" applyFont="1" applyFill="1" applyBorder="1" applyAlignment="1" applyProtection="1">
      <alignment horizontal="center" vertical="center" wrapText="1"/>
    </xf>
    <xf numFmtId="0" fontId="112" fillId="13" borderId="103" xfId="10" applyFont="1" applyFill="1" applyBorder="1" applyAlignment="1" applyProtection="1">
      <alignment horizontal="center" vertical="center" wrapText="1"/>
    </xf>
    <xf numFmtId="0" fontId="73" fillId="13" borderId="80" xfId="10" applyFont="1" applyFill="1" applyBorder="1" applyAlignment="1" applyProtection="1">
      <alignment vertical="center"/>
    </xf>
    <xf numFmtId="0" fontId="73" fillId="13" borderId="81" xfId="10" applyFont="1" applyFill="1" applyBorder="1" applyAlignment="1" applyProtection="1">
      <alignment vertical="center"/>
    </xf>
    <xf numFmtId="2" fontId="94" fillId="13" borderId="121" xfId="10" applyNumberFormat="1" applyFont="1" applyFill="1" applyBorder="1" applyAlignment="1" applyProtection="1">
      <alignment horizontal="right" vertical="center"/>
    </xf>
    <xf numFmtId="2" fontId="94" fillId="13" borderId="122" xfId="10" applyNumberFormat="1" applyFont="1" applyFill="1" applyBorder="1" applyAlignment="1" applyProtection="1">
      <alignment horizontal="right" vertical="center"/>
    </xf>
    <xf numFmtId="0" fontId="112" fillId="13" borderId="102" xfId="10" applyFont="1" applyFill="1" applyBorder="1" applyAlignment="1" applyProtection="1">
      <alignment horizontal="center" vertical="center" wrapText="1"/>
    </xf>
    <xf numFmtId="0" fontId="112" fillId="13" borderId="0" xfId="10" applyFont="1" applyFill="1" applyBorder="1" applyAlignment="1" applyProtection="1">
      <alignment horizontal="center" vertical="center" wrapText="1"/>
    </xf>
    <xf numFmtId="0" fontId="72" fillId="12" borderId="80" xfId="10" applyFont="1" applyFill="1" applyBorder="1" applyProtection="1"/>
    <xf numFmtId="0" fontId="117" fillId="0" borderId="4" xfId="10" applyFont="1" applyFill="1" applyBorder="1" applyAlignment="1" applyProtection="1">
      <alignment vertical="center"/>
    </xf>
    <xf numFmtId="0" fontId="94" fillId="0" borderId="4" xfId="10" applyFont="1" applyFill="1" applyBorder="1" applyAlignment="1" applyProtection="1">
      <alignment horizontal="left" vertical="center"/>
    </xf>
    <xf numFmtId="0" fontId="112" fillId="13" borderId="94" xfId="10" applyFont="1" applyFill="1" applyBorder="1" applyAlignment="1" applyProtection="1">
      <alignment horizontal="center" vertical="center" wrapText="1"/>
    </xf>
    <xf numFmtId="49" fontId="125" fillId="0" borderId="87" xfId="10" applyNumberFormat="1" applyFont="1" applyFill="1" applyBorder="1" applyProtection="1"/>
    <xf numFmtId="0" fontId="2" fillId="0" borderId="101" xfId="10" applyFont="1" applyBorder="1" applyAlignment="1" applyProtection="1"/>
    <xf numFmtId="0" fontId="2" fillId="0" borderId="73" xfId="10" applyFont="1" applyBorder="1" applyAlignment="1" applyProtection="1"/>
    <xf numFmtId="0" fontId="37" fillId="0" borderId="73" xfId="10" applyFont="1" applyBorder="1" applyAlignment="1" applyProtection="1">
      <alignment horizontal="center"/>
    </xf>
    <xf numFmtId="0" fontId="2" fillId="0" borderId="74" xfId="10" applyFont="1" applyBorder="1" applyAlignment="1" applyProtection="1"/>
    <xf numFmtId="2" fontId="94" fillId="13" borderId="110" xfId="10" applyNumberFormat="1" applyFont="1" applyFill="1" applyBorder="1" applyAlignment="1" applyProtection="1">
      <alignment horizontal="right" vertical="center"/>
    </xf>
    <xf numFmtId="49" fontId="125" fillId="0" borderId="87" xfId="10" applyNumberFormat="1" applyFont="1" applyBorder="1" applyProtection="1"/>
    <xf numFmtId="0" fontId="66" fillId="0" borderId="73" xfId="10" applyFont="1" applyBorder="1" applyAlignment="1" applyProtection="1">
      <alignment horizontal="center" wrapText="1"/>
    </xf>
    <xf numFmtId="0" fontId="77" fillId="13" borderId="82" xfId="10" applyFont="1" applyFill="1" applyBorder="1" applyAlignment="1" applyProtection="1">
      <alignment horizontal="right" vertical="center"/>
    </xf>
    <xf numFmtId="2" fontId="94" fillId="13" borderId="109" xfId="10" applyNumberFormat="1" applyFont="1" applyFill="1" applyBorder="1" applyAlignment="1" applyProtection="1">
      <alignment horizontal="right" vertical="center"/>
    </xf>
    <xf numFmtId="0" fontId="112" fillId="0" borderId="0" xfId="10" applyFont="1" applyAlignment="1" applyProtection="1"/>
    <xf numFmtId="0" fontId="112" fillId="0" borderId="0" xfId="10" applyFont="1" applyAlignment="1" applyProtection="1">
      <protection locked="0"/>
    </xf>
    <xf numFmtId="0" fontId="77" fillId="4" borderId="5" xfId="10" applyFont="1" applyFill="1" applyBorder="1" applyAlignment="1" applyProtection="1">
      <alignment horizontal="left"/>
    </xf>
    <xf numFmtId="0" fontId="73" fillId="4" borderId="6" xfId="10" applyFont="1" applyFill="1" applyBorder="1" applyProtection="1"/>
    <xf numFmtId="0" fontId="73" fillId="4" borderId="6" xfId="10" applyFont="1" applyFill="1" applyBorder="1" applyAlignment="1" applyProtection="1">
      <alignment horizontal="center"/>
    </xf>
    <xf numFmtId="0" fontId="95" fillId="4" borderId="6" xfId="10" applyFont="1" applyFill="1" applyBorder="1" applyAlignment="1" applyProtection="1">
      <alignment horizontal="center" wrapText="1"/>
    </xf>
    <xf numFmtId="0" fontId="73" fillId="4" borderId="6" xfId="10" applyFont="1" applyFill="1" applyBorder="1" applyAlignment="1" applyProtection="1">
      <alignment horizontal="center" wrapText="1"/>
    </xf>
    <xf numFmtId="0" fontId="96" fillId="4" borderId="7" xfId="10" applyFont="1" applyFill="1" applyBorder="1" applyAlignment="1" applyProtection="1">
      <alignment horizontal="center" wrapText="1"/>
    </xf>
    <xf numFmtId="0" fontId="133" fillId="0" borderId="87" xfId="10" applyFont="1" applyBorder="1" applyProtection="1"/>
    <xf numFmtId="0" fontId="146" fillId="0" borderId="101" xfId="10" applyFont="1" applyBorder="1" applyAlignment="1" applyProtection="1"/>
    <xf numFmtId="0" fontId="2" fillId="0" borderId="75" xfId="10" applyFont="1" applyBorder="1" applyAlignment="1" applyProtection="1"/>
    <xf numFmtId="2" fontId="61" fillId="12" borderId="83" xfId="10" applyNumberFormat="1" applyFont="1" applyFill="1" applyBorder="1" applyAlignment="1" applyProtection="1"/>
    <xf numFmtId="2" fontId="61" fillId="12" borderId="84" xfId="10" applyNumberFormat="1" applyFont="1" applyFill="1" applyBorder="1" applyAlignment="1" applyProtection="1"/>
    <xf numFmtId="2" fontId="61" fillId="0" borderId="1" xfId="10" applyNumberFormat="1" applyFont="1" applyFill="1" applyBorder="1" applyAlignment="1" applyProtection="1"/>
    <xf numFmtId="2" fontId="61" fillId="0" borderId="10" xfId="10" applyNumberFormat="1" applyFont="1" applyFill="1" applyBorder="1" applyAlignment="1" applyProtection="1"/>
    <xf numFmtId="0" fontId="73" fillId="13" borderId="5" xfId="10" applyFont="1" applyFill="1" applyBorder="1" applyAlignment="1" applyProtection="1">
      <alignment vertical="center"/>
    </xf>
    <xf numFmtId="0" fontId="77" fillId="13" borderId="6" xfId="10" applyFont="1" applyFill="1" applyBorder="1" applyAlignment="1" applyProtection="1">
      <alignment horizontal="right" vertical="center"/>
    </xf>
    <xf numFmtId="2" fontId="94" fillId="13" borderId="11" xfId="10" applyNumberFormat="1" applyFont="1" applyFill="1" applyBorder="1" applyAlignment="1" applyProtection="1">
      <alignment horizontal="right" vertical="center"/>
    </xf>
    <xf numFmtId="0" fontId="123" fillId="0" borderId="0" xfId="10" applyFont="1" applyFill="1" applyBorder="1" applyAlignment="1" applyProtection="1">
      <alignment vertical="center"/>
    </xf>
    <xf numFmtId="0" fontId="132" fillId="0" borderId="0" xfId="10" applyFont="1" applyFill="1" applyBorder="1" applyAlignment="1" applyProtection="1">
      <alignment horizontal="right" vertical="center"/>
    </xf>
    <xf numFmtId="2" fontId="132" fillId="0" borderId="0" xfId="10" applyNumberFormat="1" applyFont="1" applyFill="1" applyBorder="1" applyAlignment="1" applyProtection="1">
      <alignment horizontal="right" vertical="center"/>
    </xf>
    <xf numFmtId="0" fontId="123" fillId="0" borderId="0" xfId="10" applyFont="1" applyFill="1" applyAlignment="1" applyProtection="1"/>
    <xf numFmtId="0" fontId="123" fillId="0" borderId="0" xfId="10" applyFont="1" applyFill="1" applyAlignment="1" applyProtection="1">
      <protection locked="0"/>
    </xf>
    <xf numFmtId="0" fontId="147" fillId="17" borderId="6" xfId="10" applyFont="1" applyFill="1" applyBorder="1" applyProtection="1"/>
    <xf numFmtId="0" fontId="147" fillId="17" borderId="6" xfId="10" applyFont="1" applyFill="1" applyBorder="1" applyAlignment="1" applyProtection="1">
      <alignment horizontal="center"/>
    </xf>
    <xf numFmtId="0" fontId="147" fillId="17" borderId="6" xfId="10" applyFont="1" applyFill="1" applyBorder="1" applyAlignment="1" applyProtection="1">
      <alignment horizontal="center" wrapText="1"/>
    </xf>
    <xf numFmtId="0" fontId="147" fillId="17" borderId="7" xfId="10" applyFont="1" applyFill="1" applyBorder="1" applyAlignment="1" applyProtection="1">
      <alignment horizontal="center" wrapText="1"/>
    </xf>
    <xf numFmtId="0" fontId="73" fillId="0" borderId="12" xfId="10" applyFont="1" applyBorder="1" applyProtection="1"/>
    <xf numFmtId="0" fontId="73" fillId="0" borderId="0" xfId="10" applyFont="1" applyBorder="1" applyProtection="1">
      <protection locked="0"/>
    </xf>
    <xf numFmtId="0" fontId="37" fillId="13" borderId="104" xfId="10" applyFont="1" applyFill="1" applyBorder="1" applyAlignment="1" applyProtection="1">
      <alignment horizontal="center"/>
    </xf>
    <xf numFmtId="0" fontId="61" fillId="13" borderId="107" xfId="10" applyFont="1" applyFill="1" applyBorder="1" applyAlignment="1" applyProtection="1">
      <alignment horizontal="center" vertical="center"/>
    </xf>
    <xf numFmtId="0" fontId="61" fillId="13" borderId="108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91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61" fillId="0" borderId="1" xfId="10" applyFont="1" applyFill="1" applyBorder="1" applyAlignment="1" applyProtection="1">
      <alignment horizontal="right" vertical="center"/>
    </xf>
    <xf numFmtId="2" fontId="61" fillId="0" borderId="1" xfId="10" applyNumberFormat="1" applyFont="1" applyFill="1" applyBorder="1" applyAlignment="1" applyProtection="1">
      <alignment horizontal="right" vertical="center"/>
    </xf>
    <xf numFmtId="0" fontId="2" fillId="12" borderId="91" xfId="10" applyFont="1" applyFill="1" applyBorder="1" applyProtection="1"/>
    <xf numFmtId="0" fontId="61" fillId="12" borderId="137" xfId="10" applyFont="1" applyFill="1" applyBorder="1" applyAlignment="1" applyProtection="1">
      <alignment horizontal="right"/>
    </xf>
    <xf numFmtId="0" fontId="61" fillId="12" borderId="82" xfId="10" applyFont="1" applyFill="1" applyBorder="1" applyAlignment="1" applyProtection="1">
      <alignment horizontal="right"/>
    </xf>
    <xf numFmtId="0" fontId="2" fillId="12" borderId="83" xfId="10" applyFont="1" applyFill="1" applyBorder="1" applyAlignment="1" applyProtection="1"/>
    <xf numFmtId="0" fontId="143" fillId="12" borderId="83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vertical="center" wrapText="1"/>
    </xf>
    <xf numFmtId="0" fontId="37" fillId="13" borderId="103" xfId="10" applyFont="1" applyFill="1" applyBorder="1" applyAlignment="1" applyProtection="1">
      <alignment vertical="center" wrapText="1"/>
    </xf>
    <xf numFmtId="0" fontId="2" fillId="0" borderId="101" xfId="10" applyFont="1" applyBorder="1" applyAlignment="1" applyProtection="1">
      <protection locked="0"/>
    </xf>
    <xf numFmtId="0" fontId="62" fillId="0" borderId="4" xfId="10" applyFont="1" applyFill="1" applyBorder="1" applyProtection="1"/>
    <xf numFmtId="2" fontId="135" fillId="12" borderId="64" xfId="10" applyNumberFormat="1" applyFont="1" applyFill="1" applyBorder="1" applyAlignment="1" applyProtection="1">
      <alignment horizontal="right"/>
    </xf>
    <xf numFmtId="0" fontId="120" fillId="13" borderId="81" xfId="10" applyFont="1" applyFill="1" applyBorder="1" applyAlignment="1" applyProtection="1">
      <alignment vertical="center"/>
    </xf>
    <xf numFmtId="0" fontId="97" fillId="13" borderId="81" xfId="10" applyFont="1" applyFill="1" applyBorder="1" applyAlignment="1" applyProtection="1">
      <alignment vertical="center"/>
    </xf>
    <xf numFmtId="0" fontId="140" fillId="13" borderId="81" xfId="10" applyFont="1" applyFill="1" applyBorder="1" applyAlignment="1" applyProtection="1">
      <alignment vertical="center"/>
    </xf>
    <xf numFmtId="0" fontId="37" fillId="13" borderId="78" xfId="10" applyFont="1" applyFill="1" applyBorder="1" applyAlignment="1" applyProtection="1">
      <alignment horizontal="center"/>
    </xf>
    <xf numFmtId="190" fontId="2" fillId="0" borderId="0" xfId="10" applyNumberFormat="1" applyFont="1" applyProtection="1">
      <protection locked="0"/>
    </xf>
    <xf numFmtId="0" fontId="37" fillId="13" borderId="99" xfId="10" applyFont="1" applyFill="1" applyBorder="1" applyAlignment="1" applyProtection="1">
      <alignment vertical="center" wrapText="1"/>
    </xf>
    <xf numFmtId="190" fontId="37" fillId="0" borderId="73" xfId="10" applyNumberFormat="1" applyFont="1" applyBorder="1" applyAlignment="1" applyProtection="1">
      <alignment horizontal="center"/>
    </xf>
    <xf numFmtId="0" fontId="74" fillId="0" borderId="0" xfId="10" applyFont="1" applyBorder="1" applyProtection="1"/>
    <xf numFmtId="0" fontId="142" fillId="0" borderId="0" xfId="10" applyFont="1" applyBorder="1" applyProtection="1"/>
    <xf numFmtId="0" fontId="129" fillId="0" borderId="0" xfId="10" applyFont="1" applyProtection="1"/>
    <xf numFmtId="0" fontId="148" fillId="0" borderId="0" xfId="10" applyFont="1" applyProtection="1"/>
    <xf numFmtId="0" fontId="112" fillId="0" borderId="0" xfId="10" applyFont="1" applyProtection="1"/>
    <xf numFmtId="0" fontId="37" fillId="13" borderId="2" xfId="10" applyFont="1" applyFill="1" applyBorder="1" applyAlignment="1" applyProtection="1">
      <alignment horizontal="center" vertical="center" wrapText="1"/>
    </xf>
    <xf numFmtId="0" fontId="37" fillId="13" borderId="22" xfId="10" applyFont="1" applyFill="1" applyBorder="1" applyAlignment="1" applyProtection="1">
      <alignment vertical="center" wrapText="1"/>
    </xf>
    <xf numFmtId="0" fontId="37" fillId="13" borderId="111" xfId="10" applyFont="1" applyFill="1" applyBorder="1" applyAlignment="1" applyProtection="1">
      <alignment vertical="center" wrapText="1"/>
    </xf>
    <xf numFmtId="0" fontId="37" fillId="13" borderId="109" xfId="10" applyFont="1" applyFill="1" applyBorder="1" applyAlignment="1" applyProtection="1">
      <alignment horizontal="center" vertical="center" wrapText="1"/>
    </xf>
    <xf numFmtId="0" fontId="61" fillId="13" borderId="109" xfId="10" applyFont="1" applyFill="1" applyBorder="1" applyAlignment="1" applyProtection="1">
      <alignment horizontal="center" vertical="center" wrapText="1"/>
    </xf>
    <xf numFmtId="0" fontId="61" fillId="13" borderId="110" xfId="10" applyFont="1" applyFill="1" applyBorder="1" applyAlignment="1" applyProtection="1">
      <alignment horizontal="center" vertical="center" wrapText="1"/>
    </xf>
    <xf numFmtId="0" fontId="149" fillId="0" borderId="2" xfId="10" applyFont="1" applyFill="1" applyBorder="1" applyAlignment="1" applyProtection="1">
      <alignment horizontal="center"/>
    </xf>
    <xf numFmtId="0" fontId="149" fillId="0" borderId="86" xfId="10" applyFont="1" applyFill="1" applyBorder="1" applyAlignment="1" applyProtection="1">
      <alignment horizontal="left"/>
    </xf>
    <xf numFmtId="0" fontId="2" fillId="0" borderId="68" xfId="10" applyFont="1" applyBorder="1" applyAlignment="1" applyProtection="1"/>
    <xf numFmtId="0" fontId="2" fillId="0" borderId="68" xfId="10" applyFont="1" applyBorder="1" applyAlignment="1" applyProtection="1">
      <alignment horizontal="center"/>
    </xf>
    <xf numFmtId="0" fontId="2" fillId="18" borderId="68" xfId="10" applyFont="1" applyFill="1" applyBorder="1" applyAlignment="1" applyProtection="1"/>
    <xf numFmtId="0" fontId="2" fillId="18" borderId="69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73" xfId="10" applyFont="1" applyBorder="1" applyProtection="1">
      <protection locked="0"/>
    </xf>
    <xf numFmtId="0" fontId="2" fillId="0" borderId="8" xfId="10" applyFont="1" applyBorder="1" applyAlignment="1" applyProtection="1"/>
    <xf numFmtId="0" fontId="37" fillId="12" borderId="137" xfId="10" applyFont="1" applyFill="1" applyBorder="1" applyAlignment="1" applyProtection="1">
      <alignment horizontal="right"/>
      <protection locked="0"/>
    </xf>
    <xf numFmtId="0" fontId="61" fillId="12" borderId="81" xfId="10" applyFont="1" applyFill="1" applyBorder="1" applyAlignment="1" applyProtection="1">
      <alignment horizontal="center"/>
      <protection locked="0"/>
    </xf>
    <xf numFmtId="0" fontId="2" fillId="0" borderId="73" xfId="10" applyFont="1" applyBorder="1" applyProtection="1"/>
    <xf numFmtId="0" fontId="37" fillId="12" borderId="137" xfId="10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</xf>
    <xf numFmtId="0" fontId="149" fillId="0" borderId="90" xfId="10" applyFont="1" applyFill="1" applyBorder="1" applyAlignment="1" applyProtection="1">
      <alignment horizontal="left"/>
    </xf>
    <xf numFmtId="0" fontId="2" fillId="0" borderId="75" xfId="10" applyFont="1" applyBorder="1" applyAlignment="1" applyProtection="1">
      <alignment horizontal="center"/>
    </xf>
    <xf numFmtId="0" fontId="2" fillId="18" borderId="75" xfId="10" applyFont="1" applyFill="1" applyBorder="1" applyAlignment="1" applyProtection="1"/>
    <xf numFmtId="0" fontId="2" fillId="18" borderId="76" xfId="10" applyFont="1" applyFill="1" applyBorder="1" applyAlignment="1" applyProtection="1"/>
    <xf numFmtId="0" fontId="79" fillId="17" borderId="5" xfId="10" applyFont="1" applyFill="1" applyBorder="1" applyAlignment="1" applyProtection="1">
      <alignment horizontal="center" vertical="center"/>
    </xf>
    <xf numFmtId="0" fontId="73" fillId="17" borderId="6" xfId="10" applyFont="1" applyFill="1" applyBorder="1" applyAlignment="1" applyProtection="1">
      <alignment vertical="center"/>
    </xf>
    <xf numFmtId="0" fontId="73" fillId="17" borderId="7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vertical="center" wrapText="1"/>
    </xf>
    <xf numFmtId="0" fontId="2" fillId="0" borderId="93" xfId="10" applyFont="1" applyBorder="1" applyAlignment="1" applyProtection="1"/>
    <xf numFmtId="0" fontId="2" fillId="18" borderId="72" xfId="10" applyFont="1" applyFill="1" applyBorder="1" applyProtection="1"/>
    <xf numFmtId="187" fontId="91" fillId="18" borderId="73" xfId="10" applyNumberFormat="1" applyFont="1" applyFill="1" applyBorder="1" applyAlignment="1" applyProtection="1">
      <alignment horizontal="center"/>
    </xf>
    <xf numFmtId="0" fontId="2" fillId="15" borderId="80" xfId="10" applyFont="1" applyFill="1" applyBorder="1" applyAlignment="1" applyProtection="1"/>
    <xf numFmtId="0" fontId="2" fillId="12" borderId="81" xfId="10" applyFont="1" applyFill="1" applyBorder="1" applyProtection="1"/>
    <xf numFmtId="0" fontId="37" fillId="13" borderId="106" xfId="10" applyFont="1" applyFill="1" applyBorder="1" applyAlignment="1" applyProtection="1">
      <alignment horizontal="center" vertical="center" wrapText="1"/>
    </xf>
    <xf numFmtId="0" fontId="149" fillId="0" borderId="91" xfId="10" applyFont="1" applyFill="1" applyBorder="1" applyAlignment="1" applyProtection="1">
      <alignment horizontal="center"/>
    </xf>
    <xf numFmtId="0" fontId="111" fillId="0" borderId="83" xfId="10" applyFont="1" applyFill="1" applyBorder="1" applyAlignment="1" applyProtection="1">
      <alignment horizontal="left" vertical="center"/>
    </xf>
    <xf numFmtId="0" fontId="37" fillId="0" borderId="83" xfId="10" applyFont="1" applyBorder="1" applyAlignment="1" applyProtection="1">
      <alignment vertical="center"/>
    </xf>
    <xf numFmtId="0" fontId="2" fillId="0" borderId="83" xfId="10" applyFont="1" applyBorder="1" applyAlignment="1" applyProtection="1">
      <alignment horizontal="center" vertical="center"/>
      <protection locked="0"/>
    </xf>
    <xf numFmtId="0" fontId="61" fillId="18" borderId="83" xfId="10" applyFont="1" applyFill="1" applyBorder="1" applyAlignment="1" applyProtection="1">
      <alignment horizontal="center" vertical="center"/>
    </xf>
    <xf numFmtId="2" fontId="61" fillId="18" borderId="84" xfId="10" applyNumberFormat="1" applyFont="1" applyFill="1" applyBorder="1" applyAlignment="1" applyProtection="1">
      <alignment horizontal="right" vertical="center"/>
    </xf>
    <xf numFmtId="0" fontId="144" fillId="17" borderId="6" xfId="10" applyFont="1" applyFill="1" applyBorder="1" applyAlignment="1" applyProtection="1">
      <alignment horizontal="left" vertical="center"/>
    </xf>
    <xf numFmtId="0" fontId="37" fillId="13" borderId="79" xfId="10" applyFont="1" applyFill="1" applyBorder="1" applyAlignment="1" applyProtection="1">
      <alignment vertical="center" wrapText="1"/>
    </xf>
    <xf numFmtId="0" fontId="37" fillId="13" borderId="75" xfId="10" applyFont="1" applyFill="1" applyBorder="1" applyAlignment="1" applyProtection="1">
      <alignment vertical="center" wrapText="1"/>
    </xf>
    <xf numFmtId="0" fontId="149" fillId="0" borderId="93" xfId="10" applyFont="1" applyFill="1" applyBorder="1" applyAlignment="1" applyProtection="1">
      <alignment horizontal="center"/>
    </xf>
    <xf numFmtId="0" fontId="133" fillId="0" borderId="103" xfId="10" applyFont="1" applyBorder="1" applyProtection="1"/>
    <xf numFmtId="0" fontId="134" fillId="0" borderId="103" xfId="10" applyFont="1" applyBorder="1" applyProtection="1"/>
    <xf numFmtId="0" fontId="37" fillId="0" borderId="75" xfId="10" applyFont="1" applyBorder="1" applyAlignment="1" applyProtection="1">
      <alignment horizontal="center"/>
    </xf>
    <xf numFmtId="0" fontId="2" fillId="0" borderId="90" xfId="10" applyFont="1" applyBorder="1" applyAlignment="1" applyProtection="1"/>
    <xf numFmtId="0" fontId="2" fillId="0" borderId="104" xfId="10" applyFont="1" applyBorder="1" applyAlignment="1" applyProtection="1"/>
    <xf numFmtId="0" fontId="133" fillId="0" borderId="67" xfId="10" applyFont="1" applyFill="1" applyBorder="1" applyProtection="1"/>
    <xf numFmtId="0" fontId="134" fillId="0" borderId="67" xfId="10" applyFont="1" applyFill="1" applyBorder="1" applyProtection="1"/>
    <xf numFmtId="1" fontId="91" fillId="18" borderId="68" xfId="10" applyNumberFormat="1" applyFont="1" applyFill="1" applyBorder="1" applyAlignment="1" applyProtection="1">
      <alignment horizontal="center"/>
    </xf>
    <xf numFmtId="2" fontId="91" fillId="18" borderId="68" xfId="10" applyNumberFormat="1" applyFont="1" applyFill="1" applyBorder="1" applyAlignment="1" applyProtection="1">
      <alignment horizontal="center"/>
    </xf>
    <xf numFmtId="2" fontId="91" fillId="18" borderId="69" xfId="10" applyNumberFormat="1" applyFont="1" applyFill="1" applyBorder="1" applyAlignment="1" applyProtection="1">
      <alignment horizontal="center"/>
    </xf>
    <xf numFmtId="0" fontId="2" fillId="12" borderId="82" xfId="10" applyFont="1" applyFill="1" applyBorder="1" applyProtection="1"/>
    <xf numFmtId="0" fontId="94" fillId="13" borderId="6" xfId="10" applyFont="1" applyFill="1" applyBorder="1" applyAlignment="1" applyProtection="1">
      <alignment horizontal="right" vertical="center"/>
    </xf>
    <xf numFmtId="0" fontId="94" fillId="13" borderId="138" xfId="10" applyFont="1" applyFill="1" applyBorder="1" applyAlignment="1" applyProtection="1">
      <alignment horizontal="center" vertical="center"/>
    </xf>
    <xf numFmtId="0" fontId="77" fillId="13" borderId="121" xfId="10" applyFont="1" applyFill="1" applyBorder="1" applyAlignment="1" applyProtection="1">
      <alignment horizontal="right" vertical="center"/>
    </xf>
    <xf numFmtId="0" fontId="37" fillId="13" borderId="94" xfId="10" applyFont="1" applyFill="1" applyBorder="1" applyAlignment="1" applyProtection="1">
      <alignment vertical="center" wrapText="1"/>
    </xf>
    <xf numFmtId="0" fontId="134" fillId="0" borderId="100" xfId="10" applyFont="1" applyBorder="1" applyProtection="1"/>
    <xf numFmtId="1" fontId="91" fillId="18" borderId="75" xfId="10" applyNumberFormat="1" applyFont="1" applyFill="1" applyBorder="1" applyAlignment="1" applyProtection="1">
      <alignment horizontal="center"/>
    </xf>
    <xf numFmtId="2" fontId="91" fillId="18" borderId="75" xfId="10" applyNumberFormat="1" applyFont="1" applyFill="1" applyBorder="1" applyAlignment="1" applyProtection="1">
      <alignment horizontal="center"/>
    </xf>
    <xf numFmtId="2" fontId="91" fillId="18" borderId="76" xfId="10" applyNumberFormat="1" applyFont="1" applyFill="1" applyBorder="1" applyAlignment="1" applyProtection="1">
      <alignment horizontal="center"/>
    </xf>
    <xf numFmtId="0" fontId="134" fillId="0" borderId="116" xfId="10" applyFont="1" applyFill="1" applyBorder="1" applyProtection="1"/>
    <xf numFmtId="0" fontId="37" fillId="12" borderId="81" xfId="10" applyFont="1" applyFill="1" applyBorder="1" applyAlignment="1" applyProtection="1">
      <alignment horizontal="center"/>
    </xf>
    <xf numFmtId="0" fontId="94" fillId="13" borderId="11" xfId="10" applyFont="1" applyFill="1" applyBorder="1" applyAlignment="1" applyProtection="1">
      <alignment horizontal="center" vertical="center"/>
    </xf>
    <xf numFmtId="0" fontId="77" fillId="13" borderId="138" xfId="10" applyFont="1" applyFill="1" applyBorder="1" applyAlignment="1" applyProtection="1">
      <alignment horizontal="right" vertical="center"/>
    </xf>
    <xf numFmtId="0" fontId="2" fillId="0" borderId="89" xfId="10" applyFont="1" applyBorder="1" applyAlignment="1" applyProtection="1"/>
    <xf numFmtId="0" fontId="2" fillId="18" borderId="73" xfId="10" applyFont="1" applyFill="1" applyBorder="1" applyProtection="1"/>
    <xf numFmtId="0" fontId="37" fillId="12" borderId="81" xfId="10" applyFont="1" applyFill="1" applyBorder="1" applyAlignment="1" applyProtection="1">
      <alignment horizontal="right"/>
    </xf>
    <xf numFmtId="0" fontId="61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44" fillId="17" borderId="7" xfId="10" applyFont="1" applyFill="1" applyBorder="1" applyAlignment="1" applyProtection="1">
      <alignment horizontal="left" vertical="center"/>
    </xf>
    <xf numFmtId="0" fontId="144" fillId="0" borderId="0" xfId="10" applyFont="1" applyFill="1" applyBorder="1" applyAlignment="1" applyProtection="1">
      <alignment horizontal="left" vertical="center"/>
    </xf>
    <xf numFmtId="0" fontId="61" fillId="13" borderId="106" xfId="10" applyFont="1" applyFill="1" applyBorder="1" applyAlignment="1" applyProtection="1">
      <alignment horizontal="center"/>
    </xf>
    <xf numFmtId="0" fontId="61" fillId="0" borderId="0" xfId="10" applyFont="1" applyFill="1" applyBorder="1" applyAlignment="1" applyProtection="1">
      <alignment horizontal="center" vertical="center" wrapText="1"/>
    </xf>
    <xf numFmtId="1" fontId="91" fillId="18" borderId="72" xfId="10" applyNumberFormat="1" applyFont="1" applyFill="1" applyBorder="1" applyAlignment="1" applyProtection="1">
      <alignment horizontal="center"/>
    </xf>
    <xf numFmtId="1" fontId="91" fillId="18" borderId="74" xfId="10" applyNumberFormat="1" applyFont="1" applyFill="1" applyBorder="1" applyAlignment="1" applyProtection="1">
      <alignment horizontal="center"/>
    </xf>
    <xf numFmtId="2" fontId="91" fillId="0" borderId="0" xfId="10" applyNumberFormat="1" applyFont="1" applyFill="1" applyBorder="1" applyAlignment="1" applyProtection="1">
      <alignment horizontal="center"/>
    </xf>
    <xf numFmtId="1" fontId="61" fillId="12" borderId="84" xfId="10" applyNumberFormat="1" applyFont="1" applyFill="1" applyBorder="1" applyAlignment="1" applyProtection="1">
      <alignment horizontal="center"/>
    </xf>
    <xf numFmtId="0" fontId="40" fillId="0" borderId="0" xfId="8" applyFont="1"/>
    <xf numFmtId="0" fontId="40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60" fillId="0" borderId="64" xfId="9" applyFont="1" applyFill="1" applyBorder="1" applyAlignment="1" applyProtection="1">
      <alignment horizontal="left" vertical="center"/>
    </xf>
    <xf numFmtId="2" fontId="2" fillId="0" borderId="73" xfId="9" applyNumberFormat="1" applyFont="1" applyFill="1" applyBorder="1" applyAlignment="1" applyProtection="1">
      <alignment horizontal="center" wrapText="1"/>
    </xf>
    <xf numFmtId="1" fontId="7" fillId="0" borderId="11" xfId="1" applyNumberFormat="1" applyFont="1" applyBorder="1" applyAlignment="1" applyProtection="1">
      <alignment horizontal="center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2" fontId="84" fillId="0" borderId="8" xfId="9" applyNumberFormat="1" applyFont="1" applyFill="1" applyBorder="1" applyAlignment="1" applyProtection="1">
      <alignment horizontal="center" vertical="center"/>
    </xf>
    <xf numFmtId="2" fontId="84" fillId="0" borderId="11" xfId="9" applyNumberFormat="1" applyFont="1" applyFill="1" applyBorder="1" applyAlignment="1" applyProtection="1">
      <alignment horizontal="center" vertical="center"/>
    </xf>
    <xf numFmtId="4" fontId="89" fillId="0" borderId="14" xfId="9" applyNumberFormat="1" applyFont="1" applyBorder="1" applyAlignment="1" applyProtection="1">
      <alignment horizontal="center" vertical="center"/>
    </xf>
    <xf numFmtId="4" fontId="89" fillId="0" borderId="24" xfId="9" applyNumberFormat="1" applyFont="1" applyBorder="1" applyAlignment="1" applyProtection="1">
      <alignment horizontal="center" vertical="center"/>
    </xf>
    <xf numFmtId="4" fontId="89" fillId="0" borderId="28" xfId="9" applyNumberFormat="1" applyFont="1" applyBorder="1" applyAlignment="1" applyProtection="1">
      <alignment horizontal="center" vertical="center"/>
    </xf>
    <xf numFmtId="0" fontId="60" fillId="0" borderId="17" xfId="9" applyFont="1" applyBorder="1" applyAlignment="1" applyProtection="1">
      <alignment horizontal="center" vertical="center"/>
    </xf>
    <xf numFmtId="0" fontId="60" fillId="0" borderId="26" xfId="9" applyFont="1" applyBorder="1" applyAlignment="1" applyProtection="1">
      <alignment horizontal="center" vertical="center"/>
    </xf>
    <xf numFmtId="0" fontId="60" fillId="0" borderId="30" xfId="9" applyFont="1" applyBorder="1" applyAlignment="1" applyProtection="1">
      <alignment horizontal="center" vertical="center"/>
    </xf>
    <xf numFmtId="0" fontId="68" fillId="0" borderId="0" xfId="9" applyFont="1" applyProtection="1"/>
    <xf numFmtId="4" fontId="84" fillId="0" borderId="11" xfId="9" applyNumberFormat="1" applyFont="1" applyBorder="1" applyAlignment="1" applyProtection="1">
      <alignment horizontal="center" vertical="center"/>
    </xf>
    <xf numFmtId="4" fontId="37" fillId="0" borderId="11" xfId="9" applyNumberFormat="1" applyFont="1" applyBorder="1" applyAlignment="1" applyProtection="1">
      <alignment horizontal="center" vertical="center"/>
    </xf>
    <xf numFmtId="0" fontId="7" fillId="6" borderId="3" xfId="9" applyFont="1" applyFill="1" applyBorder="1" applyAlignment="1" applyProtection="1">
      <alignment horizontal="center"/>
    </xf>
    <xf numFmtId="0" fontId="7" fillId="0" borderId="4" xfId="9" applyFont="1" applyFill="1" applyBorder="1" applyAlignment="1" applyProtection="1">
      <alignment vertical="top" wrapText="1"/>
    </xf>
    <xf numFmtId="0" fontId="12" fillId="0" borderId="0" xfId="9" applyFont="1" applyFill="1" applyBorder="1" applyProtection="1"/>
    <xf numFmtId="0" fontId="2" fillId="13" borderId="75" xfId="10" applyFont="1" applyFill="1" applyBorder="1" applyAlignment="1" applyProtection="1">
      <alignment horizontal="center"/>
    </xf>
    <xf numFmtId="0" fontId="104" fillId="3" borderId="73" xfId="10" applyFont="1" applyFill="1" applyBorder="1" applyAlignment="1" applyProtection="1">
      <alignment horizontal="center"/>
    </xf>
    <xf numFmtId="0" fontId="2" fillId="0" borderId="75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73" xfId="10" applyFont="1" applyBorder="1" applyAlignment="1" applyProtection="1">
      <alignment wrapText="1"/>
      <protection locked="0"/>
    </xf>
    <xf numFmtId="0" fontId="73" fillId="0" borderId="139" xfId="10" applyFont="1" applyBorder="1" applyProtection="1"/>
    <xf numFmtId="0" fontId="2" fillId="0" borderId="139" xfId="10" applyFont="1" applyFill="1" applyBorder="1" applyAlignment="1" applyProtection="1"/>
    <xf numFmtId="0" fontId="73" fillId="0" borderId="0" xfId="10" applyFont="1" applyBorder="1" applyProtection="1"/>
    <xf numFmtId="0" fontId="37" fillId="0" borderId="12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horizontal="center" vertical="center" wrapText="1"/>
    </xf>
    <xf numFmtId="0" fontId="61" fillId="0" borderId="75" xfId="10" applyFont="1" applyFill="1" applyBorder="1" applyAlignment="1" applyProtection="1">
      <alignment horizontal="center" vertical="center" wrapText="1"/>
    </xf>
    <xf numFmtId="0" fontId="61" fillId="0" borderId="76" xfId="10" applyFont="1" applyFill="1" applyBorder="1" applyAlignment="1" applyProtection="1">
      <alignment horizontal="center" vertical="center" wrapText="1"/>
    </xf>
    <xf numFmtId="0" fontId="2" fillId="0" borderId="64" xfId="10" applyFont="1" applyBorder="1" applyProtection="1">
      <protection locked="0"/>
    </xf>
    <xf numFmtId="0" fontId="2" fillId="0" borderId="81" xfId="10" applyFont="1" applyBorder="1" applyProtection="1">
      <protection locked="0"/>
    </xf>
    <xf numFmtId="0" fontId="37" fillId="0" borderId="140" xfId="10" applyFont="1" applyFill="1" applyBorder="1" applyAlignment="1" applyProtection="1">
      <alignment vertical="center" wrapText="1"/>
    </xf>
    <xf numFmtId="49" fontId="125" fillId="0" borderId="141" xfId="3" applyNumberFormat="1" applyFont="1" applyFill="1" applyBorder="1" applyProtection="1"/>
    <xf numFmtId="0" fontId="37" fillId="0" borderId="141" xfId="10" applyFont="1" applyFill="1" applyBorder="1" applyAlignment="1" applyProtection="1">
      <alignment horizontal="center" vertical="center" wrapText="1"/>
    </xf>
    <xf numFmtId="0" fontId="61" fillId="0" borderId="141" xfId="10" applyFont="1" applyFill="1" applyBorder="1" applyAlignment="1" applyProtection="1">
      <alignment horizontal="center" vertical="center" wrapText="1"/>
    </xf>
    <xf numFmtId="0" fontId="61" fillId="0" borderId="142" xfId="10" applyFont="1" applyFill="1" applyBorder="1" applyAlignment="1" applyProtection="1">
      <alignment horizontal="center" vertical="center" wrapText="1"/>
    </xf>
    <xf numFmtId="0" fontId="2" fillId="0" borderId="140" xfId="10" applyFont="1" applyBorder="1" applyAlignment="1" applyProtection="1"/>
    <xf numFmtId="0" fontId="2" fillId="18" borderId="141" xfId="10" applyFont="1" applyFill="1" applyBorder="1" applyProtection="1"/>
    <xf numFmtId="0" fontId="2" fillId="0" borderId="141" xfId="10" applyFont="1" applyBorder="1" applyProtection="1">
      <protection locked="0"/>
    </xf>
    <xf numFmtId="0" fontId="2" fillId="0" borderId="141" xfId="10" applyFont="1" applyBorder="1" applyAlignment="1" applyProtection="1">
      <alignment horizontal="center"/>
      <protection locked="0"/>
    </xf>
    <xf numFmtId="2" fontId="91" fillId="18" borderId="141" xfId="10" applyNumberFormat="1" applyFont="1" applyFill="1" applyBorder="1" applyAlignment="1" applyProtection="1">
      <alignment horizontal="center"/>
    </xf>
    <xf numFmtId="2" fontId="91" fillId="18" borderId="142" xfId="10" applyNumberFormat="1" applyFont="1" applyFill="1" applyBorder="1" applyAlignment="1" applyProtection="1">
      <alignment horizontal="center"/>
    </xf>
    <xf numFmtId="0" fontId="37" fillId="0" borderId="141" xfId="10" applyFont="1" applyBorder="1" applyAlignment="1" applyProtection="1">
      <alignment horizontal="center"/>
      <protection locked="0"/>
    </xf>
    <xf numFmtId="0" fontId="2" fillId="0" borderId="143" xfId="10" applyFont="1" applyBorder="1" applyAlignment="1" applyProtection="1"/>
    <xf numFmtId="0" fontId="2" fillId="18" borderId="144" xfId="10" applyFont="1" applyFill="1" applyBorder="1" applyProtection="1"/>
    <xf numFmtId="0" fontId="2" fillId="0" borderId="144" xfId="10" applyFont="1" applyBorder="1" applyProtection="1">
      <protection locked="0"/>
    </xf>
    <xf numFmtId="0" fontId="2" fillId="0" borderId="144" xfId="10" applyFont="1" applyBorder="1" applyAlignment="1" applyProtection="1">
      <alignment horizontal="center"/>
      <protection locked="0"/>
    </xf>
    <xf numFmtId="2" fontId="91" fillId="18" borderId="144" xfId="10" applyNumberFormat="1" applyFont="1" applyFill="1" applyBorder="1" applyAlignment="1" applyProtection="1">
      <alignment horizontal="center"/>
    </xf>
    <xf numFmtId="2" fontId="91" fillId="18" borderId="145" xfId="10" applyNumberFormat="1" applyFont="1" applyFill="1" applyBorder="1" applyAlignment="1" applyProtection="1">
      <alignment horizontal="center"/>
    </xf>
    <xf numFmtId="0" fontId="37" fillId="13" borderId="146" xfId="10" applyFont="1" applyFill="1" applyBorder="1" applyAlignment="1" applyProtection="1">
      <alignment horizontal="center" vertical="center" wrapText="1"/>
    </xf>
    <xf numFmtId="0" fontId="37" fillId="13" borderId="147" xfId="10" applyFont="1" applyFill="1" applyBorder="1" applyAlignment="1" applyProtection="1">
      <alignment horizontal="center" vertical="center" wrapText="1"/>
    </xf>
    <xf numFmtId="0" fontId="37" fillId="13" borderId="148" xfId="10" applyFont="1" applyFill="1" applyBorder="1" applyAlignment="1" applyProtection="1">
      <alignment vertical="center" wrapText="1"/>
    </xf>
    <xf numFmtId="0" fontId="37" fillId="13" borderId="149" xfId="10" applyFont="1" applyFill="1" applyBorder="1" applyAlignment="1" applyProtection="1">
      <alignment vertical="center" wrapText="1"/>
    </xf>
    <xf numFmtId="0" fontId="37" fillId="13" borderId="147" xfId="10" applyFont="1" applyFill="1" applyBorder="1" applyAlignment="1" applyProtection="1">
      <alignment horizontal="center"/>
    </xf>
    <xf numFmtId="0" fontId="61" fillId="13" borderId="147" xfId="10" applyFont="1" applyFill="1" applyBorder="1" applyAlignment="1" applyProtection="1">
      <alignment horizontal="center" vertical="center" wrapText="1"/>
    </xf>
    <xf numFmtId="0" fontId="61" fillId="13" borderId="150" xfId="10" applyFont="1" applyFill="1" applyBorder="1" applyAlignment="1" applyProtection="1">
      <alignment horizontal="center" vertical="center" wrapText="1"/>
    </xf>
    <xf numFmtId="0" fontId="37" fillId="13" borderId="149" xfId="10" applyFont="1" applyFill="1" applyBorder="1" applyAlignment="1" applyProtection="1">
      <alignment horizontal="center" vertical="center" wrapText="1"/>
    </xf>
    <xf numFmtId="0" fontId="61" fillId="13" borderId="149" xfId="10" applyFont="1" applyFill="1" applyBorder="1" applyAlignment="1" applyProtection="1">
      <alignment horizontal="center" vertical="center" wrapText="1"/>
    </xf>
    <xf numFmtId="0" fontId="61" fillId="13" borderId="151" xfId="10" applyFont="1" applyFill="1" applyBorder="1" applyAlignment="1" applyProtection="1">
      <alignment horizontal="center" vertical="center" wrapText="1"/>
    </xf>
    <xf numFmtId="0" fontId="61" fillId="13" borderId="147" xfId="10" applyFont="1" applyFill="1" applyBorder="1" applyAlignment="1" applyProtection="1">
      <alignment horizontal="center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4" xfId="10" applyFont="1" applyFill="1" applyBorder="1" applyAlignment="1" applyProtection="1">
      <alignment vertical="center" wrapText="1"/>
    </xf>
    <xf numFmtId="0" fontId="37" fillId="13" borderId="155" xfId="10" applyFont="1" applyFill="1" applyBorder="1" applyAlignment="1" applyProtection="1">
      <alignment horizontal="center" vertical="center"/>
    </xf>
    <xf numFmtId="0" fontId="37" fillId="13" borderId="156" xfId="10" applyFont="1" applyFill="1" applyBorder="1" applyAlignment="1" applyProtection="1">
      <alignment horizontal="center" vertical="center"/>
    </xf>
    <xf numFmtId="0" fontId="37" fillId="0" borderId="157" xfId="10" applyFont="1" applyFill="1" applyBorder="1" applyAlignment="1" applyProtection="1">
      <alignment vertical="center" wrapText="1"/>
    </xf>
    <xf numFmtId="0" fontId="37" fillId="0" borderId="129" xfId="10" applyFont="1" applyFill="1" applyBorder="1" applyAlignment="1" applyProtection="1">
      <alignment horizontal="center" vertical="center"/>
    </xf>
    <xf numFmtId="0" fontId="37" fillId="0" borderId="158" xfId="10" applyFont="1" applyFill="1" applyBorder="1" applyAlignment="1" applyProtection="1">
      <alignment horizontal="center" vertical="center"/>
    </xf>
    <xf numFmtId="0" fontId="2" fillId="0" borderId="157" xfId="10" applyFont="1" applyBorder="1" applyProtection="1">
      <protection locked="0"/>
    </xf>
    <xf numFmtId="0" fontId="2" fillId="0" borderId="129" xfId="10" applyFont="1" applyBorder="1" applyProtection="1">
      <protection locked="0"/>
    </xf>
    <xf numFmtId="0" fontId="2" fillId="0" borderId="158" xfId="10" applyFont="1" applyBorder="1" applyProtection="1">
      <protection locked="0"/>
    </xf>
    <xf numFmtId="0" fontId="37" fillId="13" borderId="159" xfId="10" applyFont="1" applyFill="1" applyBorder="1" applyAlignment="1" applyProtection="1">
      <alignment horizontal="center"/>
      <protection locked="0"/>
    </xf>
    <xf numFmtId="0" fontId="37" fillId="13" borderId="152" xfId="10" applyFont="1" applyFill="1" applyBorder="1" applyAlignment="1" applyProtection="1">
      <alignment vertical="center" wrapText="1"/>
    </xf>
    <xf numFmtId="0" fontId="37" fillId="13" borderId="4" xfId="10" applyFont="1" applyFill="1" applyBorder="1" applyAlignment="1" applyProtection="1">
      <alignment vertical="center" wrapText="1"/>
    </xf>
    <xf numFmtId="0" fontId="2" fillId="0" borderId="159" xfId="10" applyFont="1" applyBorder="1" applyAlignment="1" applyProtection="1">
      <alignment horizontal="center"/>
      <protection locked="0"/>
    </xf>
    <xf numFmtId="0" fontId="37" fillId="13" borderId="154" xfId="10" applyFont="1" applyFill="1" applyBorder="1" applyAlignment="1" applyProtection="1">
      <alignment horizontal="center" vertical="center"/>
    </xf>
    <xf numFmtId="0" fontId="2" fillId="0" borderId="143" xfId="1" applyBorder="1"/>
    <xf numFmtId="0" fontId="2" fillId="0" borderId="144" xfId="1" applyFont="1" applyBorder="1"/>
    <xf numFmtId="0" fontId="2" fillId="0" borderId="144" xfId="1" applyBorder="1"/>
    <xf numFmtId="2" fontId="91" fillId="18" borderId="141" xfId="10" applyNumberFormat="1" applyFont="1" applyFill="1" applyBorder="1" applyAlignment="1" applyProtection="1">
      <alignment horizontal="center" vertical="top"/>
    </xf>
    <xf numFmtId="2" fontId="91" fillId="18" borderId="142" xfId="10" applyNumberFormat="1" applyFont="1" applyFill="1" applyBorder="1" applyAlignment="1" applyProtection="1">
      <alignment horizontal="center" vertical="top"/>
    </xf>
    <xf numFmtId="1" fontId="72" fillId="5" borderId="141" xfId="10" applyNumberFormat="1" applyFont="1" applyFill="1" applyBorder="1" applyAlignment="1" applyProtection="1">
      <alignment horizontal="center"/>
    </xf>
    <xf numFmtId="1" fontId="72" fillId="5" borderId="141" xfId="10" applyNumberFormat="1" applyFont="1" applyFill="1" applyBorder="1" applyAlignment="1" applyProtection="1">
      <alignment horizontal="center" vertical="top"/>
    </xf>
    <xf numFmtId="1" fontId="91" fillId="5" borderId="141" xfId="10" applyNumberFormat="1" applyFont="1" applyFill="1" applyBorder="1" applyAlignment="1" applyProtection="1">
      <alignment horizontal="center"/>
    </xf>
    <xf numFmtId="1" fontId="91" fillId="5" borderId="144" xfId="10" applyNumberFormat="1" applyFont="1" applyFill="1" applyBorder="1" applyAlignment="1" applyProtection="1">
      <alignment horizontal="center"/>
    </xf>
    <xf numFmtId="0" fontId="2" fillId="18" borderId="72" xfId="10" applyFont="1" applyFill="1" applyBorder="1" applyAlignment="1" applyProtection="1">
      <alignment vertical="top"/>
    </xf>
    <xf numFmtId="0" fontId="37" fillId="0" borderId="141" xfId="10" applyFont="1" applyBorder="1" applyProtection="1">
      <protection locked="0"/>
    </xf>
    <xf numFmtId="0" fontId="2" fillId="18" borderId="161" xfId="10" applyFont="1" applyFill="1" applyBorder="1" applyProtection="1"/>
    <xf numFmtId="0" fontId="2" fillId="0" borderId="162" xfId="10" applyFont="1" applyBorder="1" applyProtection="1">
      <protection locked="0"/>
    </xf>
    <xf numFmtId="0" fontId="2" fillId="0" borderId="162" xfId="10" applyFont="1" applyBorder="1" applyAlignment="1" applyProtection="1">
      <alignment horizontal="center"/>
      <protection locked="0"/>
    </xf>
    <xf numFmtId="2" fontId="91" fillId="18" borderId="162" xfId="10" applyNumberFormat="1" applyFont="1" applyFill="1" applyBorder="1" applyAlignment="1" applyProtection="1">
      <alignment horizontal="center"/>
    </xf>
    <xf numFmtId="2" fontId="91" fillId="18" borderId="163" xfId="10" applyNumberFormat="1" applyFont="1" applyFill="1" applyBorder="1" applyAlignment="1" applyProtection="1">
      <alignment horizontal="center"/>
    </xf>
    <xf numFmtId="0" fontId="2" fillId="18" borderId="160" xfId="10" applyFont="1" applyFill="1" applyBorder="1" applyProtection="1"/>
    <xf numFmtId="0" fontId="2" fillId="0" borderId="159" xfId="10" applyFont="1" applyBorder="1" applyProtection="1">
      <protection locked="0"/>
    </xf>
    <xf numFmtId="0" fontId="2" fillId="0" borderId="73" xfId="10" applyFont="1" applyBorder="1" applyAlignment="1" applyProtection="1">
      <alignment vertical="center"/>
      <protection locked="0"/>
    </xf>
    <xf numFmtId="1" fontId="91" fillId="5" borderId="73" xfId="10" applyNumberFormat="1" applyFont="1" applyFill="1" applyBorder="1" applyAlignment="1" applyProtection="1">
      <alignment horizontal="center" vertical="center"/>
    </xf>
    <xf numFmtId="1" fontId="91" fillId="5" borderId="73" xfId="10" applyNumberFormat="1" applyFont="1" applyFill="1" applyBorder="1" applyAlignment="1" applyProtection="1">
      <alignment horizontal="center"/>
    </xf>
    <xf numFmtId="1" fontId="91" fillId="5" borderId="162" xfId="10" applyNumberFormat="1" applyFont="1" applyFill="1" applyBorder="1" applyAlignment="1" applyProtection="1">
      <alignment horizontal="center"/>
    </xf>
    <xf numFmtId="1" fontId="91" fillId="5" borderId="159" xfId="10" applyNumberFormat="1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wrapText="1"/>
      <protection locked="0"/>
    </xf>
    <xf numFmtId="0" fontId="2" fillId="0" borderId="72" xfId="10" applyFont="1" applyBorder="1" applyProtection="1">
      <protection locked="0"/>
    </xf>
    <xf numFmtId="0" fontId="2" fillId="0" borderId="101" xfId="10" applyFont="1" applyBorder="1" applyProtection="1">
      <protection locked="0"/>
    </xf>
    <xf numFmtId="0" fontId="2" fillId="0" borderId="137" xfId="10" applyFont="1" applyBorder="1" applyProtection="1">
      <protection locked="0"/>
    </xf>
    <xf numFmtId="0" fontId="2" fillId="0" borderId="82" xfId="10" applyFont="1" applyBorder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73" fillId="0" borderId="0" xfId="3" applyFont="1" applyAlignment="1" applyProtection="1">
      <alignment horizontal="center"/>
    </xf>
    <xf numFmtId="0" fontId="102" fillId="0" borderId="0" xfId="3" applyFont="1" applyFill="1" applyBorder="1" applyAlignment="1" applyProtection="1">
      <alignment horizontal="left" vertical="center"/>
    </xf>
    <xf numFmtId="0" fontId="73" fillId="0" borderId="0" xfId="3" applyFont="1" applyFill="1" applyBorder="1" applyAlignment="1" applyProtection="1">
      <alignment horizontal="center"/>
    </xf>
    <xf numFmtId="0" fontId="117" fillId="0" borderId="1" xfId="10" applyFont="1" applyFill="1" applyBorder="1" applyProtection="1"/>
    <xf numFmtId="0" fontId="71" fillId="0" borderId="0" xfId="10" applyFont="1" applyFill="1" applyBorder="1" applyAlignment="1" applyProtection="1"/>
    <xf numFmtId="0" fontId="117" fillId="0" borderId="0" xfId="10" applyFont="1" applyFill="1" applyBorder="1" applyAlignment="1" applyProtection="1">
      <alignment vertical="center"/>
    </xf>
    <xf numFmtId="0" fontId="71" fillId="0" borderId="101" xfId="10" applyFont="1" applyBorder="1" applyAlignment="1" applyProtection="1">
      <alignment horizontal="left" vertical="center"/>
      <protection locked="0"/>
    </xf>
    <xf numFmtId="0" fontId="73" fillId="4" borderId="92" xfId="10" applyFont="1" applyFill="1" applyBorder="1" applyAlignment="1" applyProtection="1">
      <alignment horizontal="center" vertical="center"/>
    </xf>
    <xf numFmtId="0" fontId="2" fillId="20" borderId="141" xfId="10" applyFont="1" applyFill="1" applyBorder="1" applyProtection="1"/>
    <xf numFmtId="0" fontId="72" fillId="20" borderId="157" xfId="10" applyFont="1" applyFill="1" applyBorder="1" applyAlignment="1" applyProtection="1">
      <alignment vertical="top" wrapText="1"/>
      <protection locked="0"/>
    </xf>
    <xf numFmtId="0" fontId="72" fillId="0" borderId="158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64" xfId="10" applyFont="1" applyFill="1" applyBorder="1" applyProtection="1"/>
    <xf numFmtId="0" fontId="2" fillId="0" borderId="165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91" fillId="5" borderId="166" xfId="10" applyNumberFormat="1" applyFont="1" applyFill="1" applyBorder="1" applyAlignment="1" applyProtection="1">
      <alignment horizontal="center"/>
    </xf>
    <xf numFmtId="2" fontId="91" fillId="18" borderId="166" xfId="10" applyNumberFormat="1" applyFont="1" applyFill="1" applyBorder="1" applyAlignment="1" applyProtection="1">
      <alignment horizontal="center"/>
    </xf>
    <xf numFmtId="2" fontId="91" fillId="18" borderId="167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91" fillId="5" borderId="0" xfId="10" applyNumberFormat="1" applyFont="1" applyFill="1" applyBorder="1" applyAlignment="1" applyProtection="1">
      <alignment horizontal="center"/>
    </xf>
    <xf numFmtId="2" fontId="91" fillId="18" borderId="0" xfId="10" applyNumberFormat="1" applyFont="1" applyFill="1" applyBorder="1" applyAlignment="1" applyProtection="1">
      <alignment horizontal="center"/>
    </xf>
    <xf numFmtId="2" fontId="91" fillId="18" borderId="13" xfId="10" applyNumberFormat="1" applyFont="1" applyFill="1" applyBorder="1" applyAlignment="1" applyProtection="1">
      <alignment horizontal="center"/>
    </xf>
    <xf numFmtId="0" fontId="64" fillId="13" borderId="67" xfId="9" applyFont="1" applyFill="1" applyBorder="1" applyAlignment="1" applyProtection="1">
      <alignment horizontal="center" vertical="center"/>
    </xf>
    <xf numFmtId="0" fontId="60" fillId="0" borderId="72" xfId="9" applyFont="1" applyBorder="1" applyAlignment="1" applyProtection="1">
      <alignment horizontal="left" vertical="center" wrapText="1"/>
    </xf>
    <xf numFmtId="0" fontId="68" fillId="0" borderId="72" xfId="9" applyFont="1" applyBorder="1" applyAlignment="1" applyProtection="1">
      <alignment horizontal="left" vertical="center" wrapText="1"/>
    </xf>
    <xf numFmtId="0" fontId="73" fillId="0" borderId="0" xfId="3" applyFont="1" applyAlignment="1" applyProtection="1">
      <alignment horizontal="center"/>
    </xf>
    <xf numFmtId="0" fontId="15" fillId="14" borderId="28" xfId="9" applyFill="1" applyBorder="1" applyAlignment="1" applyProtection="1">
      <alignment horizontal="center" vertical="center"/>
    </xf>
    <xf numFmtId="0" fontId="64" fillId="0" borderId="5" xfId="9" applyFont="1" applyBorder="1" applyAlignment="1" applyProtection="1">
      <alignment vertical="center"/>
    </xf>
    <xf numFmtId="0" fontId="64" fillId="0" borderId="6" xfId="9" applyFont="1" applyBorder="1" applyAlignment="1" applyProtection="1">
      <alignment vertical="center"/>
    </xf>
    <xf numFmtId="0" fontId="64" fillId="0" borderId="7" xfId="9" applyFont="1" applyBorder="1" applyAlignment="1" applyProtection="1">
      <alignment vertical="center"/>
    </xf>
    <xf numFmtId="0" fontId="15" fillId="0" borderId="11" xfId="9" applyBorder="1" applyProtection="1"/>
    <xf numFmtId="0" fontId="15" fillId="0" borderId="11" xfId="9" applyFill="1" applyBorder="1" applyAlignment="1" applyProtection="1">
      <alignment horizontal="center"/>
    </xf>
    <xf numFmtId="0" fontId="64" fillId="0" borderId="103" xfId="9" applyFont="1" applyFill="1" applyBorder="1" applyAlignment="1" applyProtection="1">
      <alignment horizontal="center" vertical="center"/>
    </xf>
    <xf numFmtId="0" fontId="64" fillId="0" borderId="63" xfId="9" applyFont="1" applyFill="1" applyBorder="1" applyAlignment="1" applyProtection="1">
      <alignment horizontal="center" vertical="center"/>
    </xf>
    <xf numFmtId="0" fontId="84" fillId="0" borderId="70" xfId="9" applyFont="1" applyFill="1" applyBorder="1" applyAlignment="1" applyProtection="1">
      <alignment horizontal="left" vertical="center"/>
    </xf>
    <xf numFmtId="0" fontId="151" fillId="0" borderId="70" xfId="9" applyFont="1" applyFill="1" applyBorder="1" applyAlignment="1" applyProtection="1">
      <alignment horizontal="left" vertical="center"/>
    </xf>
    <xf numFmtId="0" fontId="7" fillId="0" borderId="0" xfId="9" applyFont="1"/>
    <xf numFmtId="0" fontId="2" fillId="18" borderId="90" xfId="3" applyFont="1" applyFill="1" applyBorder="1" applyProtection="1"/>
    <xf numFmtId="0" fontId="2" fillId="18" borderId="87" xfId="3" applyFont="1" applyFill="1" applyBorder="1" applyProtection="1"/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horizontal="left" vertical="center"/>
      <protection locked="0"/>
    </xf>
    <xf numFmtId="0" fontId="37" fillId="13" borderId="100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Protection="1"/>
    <xf numFmtId="0" fontId="99" fillId="17" borderId="6" xfId="10" applyFont="1" applyFill="1" applyBorder="1" applyAlignment="1" applyProtection="1">
      <alignment horizontal="center"/>
    </xf>
    <xf numFmtId="0" fontId="99" fillId="17" borderId="6" xfId="10" applyFont="1" applyFill="1" applyBorder="1" applyAlignment="1" applyProtection="1">
      <alignment horizontal="center" wrapText="1"/>
    </xf>
    <xf numFmtId="0" fontId="117" fillId="17" borderId="7" xfId="10" applyFont="1" applyFill="1" applyBorder="1" applyAlignment="1" applyProtection="1">
      <alignment horizontal="center" wrapText="1"/>
    </xf>
    <xf numFmtId="0" fontId="154" fillId="17" borderId="6" xfId="10" applyFont="1" applyFill="1" applyBorder="1" applyProtection="1"/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/>
      <protection locked="0"/>
    </xf>
    <xf numFmtId="0" fontId="5" fillId="0" borderId="0" xfId="9" applyFont="1" applyAlignment="1" applyProtection="1">
      <alignment horizontal="center"/>
      <protection locked="0"/>
    </xf>
    <xf numFmtId="0" fontId="7" fillId="0" borderId="28" xfId="1" applyFont="1" applyBorder="1" applyAlignment="1" applyProtection="1">
      <alignment horizontal="center"/>
    </xf>
    <xf numFmtId="0" fontId="7" fillId="0" borderId="24" xfId="1" applyFont="1" applyBorder="1" applyAlignment="1" applyProtection="1">
      <alignment horizontal="center"/>
    </xf>
    <xf numFmtId="0" fontId="60" fillId="0" borderId="64" xfId="9" applyFont="1" applyBorder="1" applyAlignment="1" applyProtection="1">
      <alignment horizontal="left" vertical="top" wrapText="1"/>
    </xf>
    <xf numFmtId="0" fontId="60" fillId="0" borderId="72" xfId="9" applyFont="1" applyBorder="1" applyAlignment="1" applyProtection="1">
      <alignment horizontal="left" vertical="top" wrapText="1"/>
    </xf>
    <xf numFmtId="0" fontId="64" fillId="13" borderId="81" xfId="9" applyFont="1" applyFill="1" applyBorder="1" applyAlignment="1" applyProtection="1">
      <alignment horizontal="right"/>
    </xf>
    <xf numFmtId="0" fontId="60" fillId="0" borderId="64" xfId="9" applyFont="1" applyBorder="1" applyAlignment="1" applyProtection="1">
      <alignment horizontal="left" vertical="center" wrapText="1"/>
    </xf>
    <xf numFmtId="0" fontId="64" fillId="13" borderId="66" xfId="9" applyFont="1" applyFill="1" applyBorder="1" applyAlignment="1" applyProtection="1">
      <alignment horizontal="center" vertical="center"/>
    </xf>
    <xf numFmtId="0" fontId="64" fillId="13" borderId="82" xfId="9" applyFont="1" applyFill="1" applyBorder="1" applyAlignment="1" applyProtection="1">
      <alignment horizontal="right"/>
    </xf>
    <xf numFmtId="0" fontId="68" fillId="0" borderId="64" xfId="9" applyFont="1" applyBorder="1" applyAlignment="1" applyProtection="1">
      <alignment horizontal="left" vertical="center" wrapText="1"/>
    </xf>
    <xf numFmtId="0" fontId="15" fillId="0" borderId="64" xfId="3" applyFont="1" applyFill="1" applyBorder="1" applyAlignment="1" applyProtection="1">
      <alignment horizontal="left" vertical="center"/>
    </xf>
    <xf numFmtId="0" fontId="107" fillId="13" borderId="85" xfId="10" applyFont="1" applyFill="1" applyBorder="1" applyAlignment="1" applyProtection="1">
      <alignment horizontal="center" vertical="center" wrapText="1"/>
    </xf>
    <xf numFmtId="0" fontId="107" fillId="13" borderId="75" xfId="10" applyFont="1" applyFill="1" applyBorder="1" applyAlignment="1" applyProtection="1">
      <alignment horizontal="center" vertical="center" wrapText="1"/>
    </xf>
    <xf numFmtId="0" fontId="89" fillId="0" borderId="64" xfId="10" applyFont="1" applyFill="1" applyBorder="1" applyAlignment="1" applyProtection="1"/>
    <xf numFmtId="2" fontId="89" fillId="18" borderId="73" xfId="10" applyNumberFormat="1" applyFont="1" applyFill="1" applyBorder="1" applyAlignment="1" applyProtection="1">
      <alignment horizontal="center" vertical="center"/>
    </xf>
    <xf numFmtId="0" fontId="15" fillId="0" borderId="111" xfId="3" applyFont="1" applyBorder="1" applyAlignment="1" applyProtection="1">
      <alignment horizontal="center" vertical="center"/>
    </xf>
    <xf numFmtId="0" fontId="15" fillId="0" borderId="109" xfId="3" applyFont="1" applyBorder="1" applyAlignment="1" applyProtection="1">
      <alignment horizontal="left" vertical="top" wrapText="1"/>
    </xf>
    <xf numFmtId="0" fontId="15" fillId="0" borderId="110" xfId="3" applyFont="1" applyBorder="1" applyAlignment="1" applyProtection="1">
      <alignment horizontal="center" vertical="center" wrapText="1"/>
    </xf>
    <xf numFmtId="0" fontId="15" fillId="0" borderId="168" xfId="3" applyFont="1" applyBorder="1" applyAlignment="1" applyProtection="1">
      <alignment horizontal="center" vertical="center"/>
    </xf>
    <xf numFmtId="0" fontId="15" fillId="0" borderId="169" xfId="3" applyFont="1" applyBorder="1" applyAlignment="1" applyProtection="1">
      <alignment horizontal="left" vertical="top" wrapText="1"/>
    </xf>
    <xf numFmtId="0" fontId="15" fillId="0" borderId="170" xfId="3" applyFont="1" applyBorder="1" applyAlignment="1" applyProtection="1">
      <alignment horizontal="center" vertical="center" wrapText="1"/>
    </xf>
    <xf numFmtId="49" fontId="2" fillId="0" borderId="77" xfId="9" applyNumberFormat="1" applyFont="1" applyBorder="1" applyAlignment="1" applyProtection="1">
      <alignment horizontal="right" vertical="center"/>
    </xf>
    <xf numFmtId="49" fontId="2" fillId="0" borderId="70" xfId="9" applyNumberFormat="1" applyFont="1" applyBorder="1" applyAlignment="1" applyProtection="1">
      <alignment horizontal="right" vertical="top"/>
    </xf>
    <xf numFmtId="0" fontId="5" fillId="0" borderId="0" xfId="9" applyFont="1" applyFill="1" applyProtection="1">
      <protection locked="0"/>
    </xf>
    <xf numFmtId="0" fontId="5" fillId="0" borderId="0" xfId="9" applyFont="1" applyProtection="1">
      <protection locked="0"/>
    </xf>
    <xf numFmtId="0" fontId="0" fillId="0" borderId="0" xfId="0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43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5" fillId="0" borderId="0" xfId="9" applyAlignment="1" applyProtection="1">
      <alignment vertical="center"/>
      <protection locked="0"/>
    </xf>
    <xf numFmtId="0" fontId="2" fillId="18" borderId="168" xfId="3" applyFont="1" applyFill="1" applyBorder="1" applyProtection="1"/>
    <xf numFmtId="0" fontId="15" fillId="0" borderId="169" xfId="3" applyFont="1" applyBorder="1" applyAlignment="1" applyProtection="1">
      <alignment horizontal="center"/>
      <protection locked="0"/>
    </xf>
    <xf numFmtId="0" fontId="89" fillId="18" borderId="169" xfId="3" applyFont="1" applyFill="1" applyBorder="1" applyAlignment="1" applyProtection="1">
      <alignment horizontal="center"/>
    </xf>
    <xf numFmtId="2" fontId="90" fillId="18" borderId="169" xfId="3" applyNumberFormat="1" applyFont="1" applyFill="1" applyBorder="1" applyAlignment="1" applyProtection="1">
      <alignment horizontal="center"/>
    </xf>
    <xf numFmtId="4" fontId="90" fillId="18" borderId="169" xfId="3" applyNumberFormat="1" applyFont="1" applyFill="1" applyBorder="1" applyAlignment="1" applyProtection="1">
      <alignment horizontal="center"/>
    </xf>
    <xf numFmtId="4" fontId="91" fillId="18" borderId="170" xfId="3" applyNumberFormat="1" applyFont="1" applyFill="1" applyBorder="1" applyAlignment="1" applyProtection="1">
      <alignment horizontal="center"/>
    </xf>
    <xf numFmtId="0" fontId="2" fillId="18" borderId="131" xfId="3" applyFont="1" applyFill="1" applyBorder="1" applyProtection="1"/>
    <xf numFmtId="0" fontId="15" fillId="0" borderId="173" xfId="3" applyFont="1" applyBorder="1" applyAlignment="1" applyProtection="1">
      <alignment horizontal="center"/>
      <protection locked="0"/>
    </xf>
    <xf numFmtId="0" fontId="89" fillId="18" borderId="173" xfId="3" applyFont="1" applyFill="1" applyBorder="1" applyAlignment="1" applyProtection="1">
      <alignment horizontal="center"/>
    </xf>
    <xf numFmtId="2" fontId="90" fillId="18" borderId="173" xfId="3" applyNumberFormat="1" applyFont="1" applyFill="1" applyBorder="1" applyAlignment="1" applyProtection="1">
      <alignment horizontal="center"/>
    </xf>
    <xf numFmtId="4" fontId="90" fillId="18" borderId="173" xfId="3" applyNumberFormat="1" applyFont="1" applyFill="1" applyBorder="1" applyAlignment="1" applyProtection="1">
      <alignment horizontal="center"/>
    </xf>
    <xf numFmtId="4" fontId="91" fillId="18" borderId="174" xfId="3" applyNumberFormat="1" applyFont="1" applyFill="1" applyBorder="1" applyAlignment="1" applyProtection="1">
      <alignment horizontal="center"/>
    </xf>
    <xf numFmtId="0" fontId="15" fillId="18" borderId="131" xfId="3" applyFont="1" applyFill="1" applyBorder="1" applyProtection="1"/>
    <xf numFmtId="2" fontId="91" fillId="18" borderId="174" xfId="3" applyNumberFormat="1" applyFont="1" applyFill="1" applyBorder="1" applyAlignment="1" applyProtection="1">
      <alignment horizontal="center"/>
    </xf>
    <xf numFmtId="0" fontId="15" fillId="18" borderId="168" xfId="3" applyFont="1" applyFill="1" applyBorder="1" applyProtection="1"/>
    <xf numFmtId="2" fontId="91" fillId="18" borderId="170" xfId="3" applyNumberFormat="1" applyFont="1" applyFill="1" applyBorder="1" applyAlignment="1" applyProtection="1">
      <alignment horizontal="center"/>
    </xf>
    <xf numFmtId="0" fontId="90" fillId="18" borderId="169" xfId="3" applyFont="1" applyFill="1" applyBorder="1" applyAlignment="1" applyProtection="1">
      <alignment horizontal="center"/>
    </xf>
    <xf numFmtId="0" fontId="90" fillId="18" borderId="173" xfId="3" applyFont="1" applyFill="1" applyBorder="1" applyAlignment="1" applyProtection="1">
      <alignment horizontal="center"/>
    </xf>
    <xf numFmtId="0" fontId="91" fillId="18" borderId="169" xfId="3" applyFont="1" applyFill="1" applyBorder="1" applyAlignment="1" applyProtection="1">
      <alignment horizontal="center"/>
    </xf>
    <xf numFmtId="2" fontId="91" fillId="18" borderId="169" xfId="3" applyNumberFormat="1" applyFont="1" applyFill="1" applyBorder="1" applyAlignment="1" applyProtection="1">
      <alignment horizontal="center"/>
    </xf>
    <xf numFmtId="0" fontId="91" fillId="18" borderId="173" xfId="3" applyFont="1" applyFill="1" applyBorder="1" applyAlignment="1" applyProtection="1">
      <alignment horizontal="center"/>
    </xf>
    <xf numFmtId="2" fontId="91" fillId="18" borderId="173" xfId="3" applyNumberFormat="1" applyFont="1" applyFill="1" applyBorder="1" applyAlignment="1" applyProtection="1">
      <alignment horizontal="center"/>
    </xf>
    <xf numFmtId="2" fontId="94" fillId="0" borderId="10" xfId="3" applyNumberFormat="1" applyFont="1" applyFill="1" applyBorder="1" applyAlignment="1" applyProtection="1">
      <alignment vertical="center"/>
    </xf>
    <xf numFmtId="0" fontId="2" fillId="0" borderId="75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protection locked="0"/>
    </xf>
    <xf numFmtId="0" fontId="2" fillId="0" borderId="75" xfId="3" applyFont="1" applyFill="1" applyBorder="1" applyAlignment="1" applyProtection="1">
      <alignment horizontal="center"/>
      <protection locked="0"/>
    </xf>
    <xf numFmtId="0" fontId="2" fillId="0" borderId="73" xfId="3" applyFont="1" applyFill="1" applyBorder="1" applyAlignment="1" applyProtection="1">
      <alignment horizontal="center" vertical="center"/>
      <protection locked="0"/>
    </xf>
    <xf numFmtId="0" fontId="2" fillId="12" borderId="123" xfId="10" applyFont="1" applyFill="1" applyBorder="1" applyProtection="1"/>
    <xf numFmtId="0" fontId="61" fillId="12" borderId="124" xfId="10" applyFont="1" applyFill="1" applyBorder="1" applyAlignment="1" applyProtection="1">
      <alignment horizontal="right"/>
    </xf>
    <xf numFmtId="0" fontId="61" fillId="12" borderId="124" xfId="10" applyFont="1" applyFill="1" applyBorder="1" applyAlignment="1" applyProtection="1">
      <alignment horizontal="center"/>
    </xf>
    <xf numFmtId="0" fontId="2" fillId="12" borderId="124" xfId="10" applyFont="1" applyFill="1" applyBorder="1" applyAlignment="1" applyProtection="1">
      <alignment horizontal="center"/>
    </xf>
    <xf numFmtId="0" fontId="143" fillId="12" borderId="124" xfId="10" applyFont="1" applyFill="1" applyBorder="1" applyAlignment="1" applyProtection="1">
      <alignment horizontal="center"/>
    </xf>
    <xf numFmtId="0" fontId="37" fillId="12" borderId="172" xfId="10" applyFont="1" applyFill="1" applyBorder="1" applyAlignment="1" applyProtection="1">
      <alignment horizontal="right"/>
    </xf>
    <xf numFmtId="2" fontId="61" fillId="12" borderId="169" xfId="10" applyNumberFormat="1" applyFont="1" applyFill="1" applyBorder="1" applyAlignment="1" applyProtection="1">
      <alignment horizontal="right"/>
    </xf>
    <xf numFmtId="2" fontId="61" fillId="12" borderId="170" xfId="10" applyNumberFormat="1" applyFont="1" applyFill="1" applyBorder="1" applyAlignment="1" applyProtection="1">
      <alignment horizontal="right"/>
    </xf>
    <xf numFmtId="0" fontId="133" fillId="0" borderId="131" xfId="10" applyFont="1" applyBorder="1" applyProtection="1"/>
    <xf numFmtId="0" fontId="146" fillId="0" borderId="132" xfId="10" applyFont="1" applyBorder="1" applyAlignment="1" applyProtection="1"/>
    <xf numFmtId="0" fontId="146" fillId="0" borderId="133" xfId="10" applyFont="1" applyBorder="1" applyAlignment="1" applyProtection="1"/>
    <xf numFmtId="0" fontId="2" fillId="0" borderId="173" xfId="10" applyFont="1" applyBorder="1" applyAlignment="1" applyProtection="1"/>
    <xf numFmtId="0" fontId="91" fillId="0" borderId="173" xfId="10" applyFont="1" applyBorder="1" applyAlignment="1" applyProtection="1">
      <alignment horizontal="center"/>
    </xf>
    <xf numFmtId="0" fontId="91" fillId="0" borderId="174" xfId="10" applyFont="1" applyBorder="1" applyAlignment="1" applyProtection="1">
      <alignment horizontal="center"/>
    </xf>
    <xf numFmtId="3" fontId="2" fillId="0" borderId="73" xfId="10" applyNumberFormat="1" applyFont="1" applyBorder="1" applyAlignment="1" applyProtection="1">
      <alignment horizontal="center"/>
      <protection locked="0"/>
    </xf>
    <xf numFmtId="0" fontId="7" fillId="6" borderId="3" xfId="9" applyFont="1" applyFill="1" applyBorder="1" applyProtection="1"/>
    <xf numFmtId="0" fontId="0" fillId="6" borderId="0" xfId="0" applyFill="1"/>
    <xf numFmtId="0" fontId="7" fillId="6" borderId="1" xfId="9" applyFont="1" applyFill="1" applyBorder="1" applyProtection="1"/>
    <xf numFmtId="0" fontId="7" fillId="11" borderId="176" xfId="9" applyFont="1" applyFill="1" applyBorder="1" applyProtection="1"/>
    <xf numFmtId="0" fontId="7" fillId="21" borderId="45" xfId="9" applyFont="1" applyFill="1" applyBorder="1" applyProtection="1"/>
    <xf numFmtId="0" fontId="7" fillId="21" borderId="41" xfId="9" applyFont="1" applyFill="1" applyBorder="1" applyProtection="1"/>
    <xf numFmtId="0" fontId="7" fillId="21" borderId="7" xfId="9" applyFont="1" applyFill="1" applyBorder="1" applyAlignment="1" applyProtection="1">
      <alignment horizontal="center" vertical="top"/>
      <protection locked="0"/>
    </xf>
    <xf numFmtId="0" fontId="26" fillId="21" borderId="11" xfId="9" applyFont="1" applyFill="1" applyBorder="1" applyAlignment="1" applyProtection="1">
      <alignment horizontal="center" vertical="top" wrapText="1"/>
      <protection locked="0"/>
    </xf>
    <xf numFmtId="49" fontId="7" fillId="21" borderId="5" xfId="9" applyNumberFormat="1" applyFont="1" applyFill="1" applyBorder="1" applyAlignment="1" applyProtection="1">
      <alignment horizontal="right" vertical="top"/>
      <protection locked="0"/>
    </xf>
    <xf numFmtId="0" fontId="7" fillId="21" borderId="31" xfId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vertical="top"/>
    </xf>
    <xf numFmtId="0" fontId="7" fillId="6" borderId="13" xfId="1" applyFont="1" applyFill="1" applyBorder="1" applyAlignment="1" applyProtection="1">
      <alignment vertical="top"/>
    </xf>
    <xf numFmtId="0" fontId="7" fillId="6" borderId="1" xfId="1" applyFont="1" applyFill="1" applyBorder="1" applyAlignment="1" applyProtection="1">
      <alignment vertical="top"/>
    </xf>
    <xf numFmtId="0" fontId="7" fillId="6" borderId="10" xfId="1" applyFont="1" applyFill="1" applyBorder="1" applyAlignment="1" applyProtection="1">
      <alignment vertical="top"/>
    </xf>
    <xf numFmtId="0" fontId="7" fillId="6" borderId="180" xfId="1" applyFont="1" applyFill="1" applyBorder="1" applyAlignment="1" applyProtection="1">
      <alignment vertical="top"/>
    </xf>
    <xf numFmtId="0" fontId="3" fillId="6" borderId="1" xfId="1" applyFont="1" applyFill="1" applyBorder="1" applyAlignment="1" applyProtection="1">
      <alignment vertical="top"/>
    </xf>
    <xf numFmtId="0" fontId="7" fillId="21" borderId="11" xfId="1" applyFont="1" applyFill="1" applyBorder="1" applyAlignment="1" applyProtection="1">
      <alignment vertical="top"/>
    </xf>
    <xf numFmtId="0" fontId="21" fillId="0" borderId="0" xfId="1" applyFont="1" applyFill="1" applyBorder="1" applyProtection="1"/>
    <xf numFmtId="0" fontId="21" fillId="6" borderId="4" xfId="1" applyFont="1" applyFill="1" applyBorder="1" applyAlignment="1" applyProtection="1">
      <alignment vertical="center"/>
    </xf>
    <xf numFmtId="0" fontId="7" fillId="21" borderId="7" xfId="1" applyFont="1" applyFill="1" applyBorder="1" applyAlignment="1" applyProtection="1">
      <alignment horizontal="center" vertical="center"/>
      <protection locked="0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3" xfId="1" applyFont="1" applyFill="1" applyBorder="1" applyAlignment="1" applyProtection="1">
      <alignment horizontal="center"/>
      <protection locked="0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0" fontId="7" fillId="21" borderId="27" xfId="1" applyFont="1" applyFill="1" applyBorder="1" applyAlignment="1" applyProtection="1">
      <alignment horizontal="center"/>
      <protection locked="0"/>
    </xf>
    <xf numFmtId="49" fontId="7" fillId="21" borderId="14" xfId="1" applyNumberFormat="1" applyFont="1" applyFill="1" applyBorder="1" applyProtection="1">
      <protection locked="0"/>
    </xf>
    <xf numFmtId="0" fontId="7" fillId="21" borderId="24" xfId="1" applyFont="1" applyFill="1" applyBorder="1" applyAlignment="1" applyProtection="1">
      <alignment horizontal="center"/>
      <protection locked="0"/>
    </xf>
    <xf numFmtId="0" fontId="7" fillId="21" borderId="28" xfId="1" applyFont="1" applyFill="1" applyBorder="1" applyAlignment="1" applyProtection="1">
      <alignment horizontal="center"/>
      <protection locked="0"/>
    </xf>
    <xf numFmtId="0" fontId="13" fillId="21" borderId="23" xfId="1" applyNumberFormat="1" applyFont="1" applyFill="1" applyBorder="1" applyAlignment="1" applyProtection="1">
      <protection locked="0"/>
    </xf>
    <xf numFmtId="0" fontId="13" fillId="21" borderId="26" xfId="1" applyNumberFormat="1" applyFont="1" applyFill="1" applyBorder="1" applyAlignment="1" applyProtection="1">
      <protection locked="0"/>
    </xf>
    <xf numFmtId="0" fontId="13" fillId="21" borderId="27" xfId="1" applyNumberFormat="1" applyFont="1" applyFill="1" applyBorder="1" applyAlignment="1" applyProtection="1">
      <protection locked="0"/>
    </xf>
    <xf numFmtId="0" fontId="13" fillId="21" borderId="30" xfId="1" applyNumberFormat="1" applyFont="1" applyFill="1" applyBorder="1" applyAlignment="1" applyProtection="1">
      <protection locked="0"/>
    </xf>
    <xf numFmtId="0" fontId="13" fillId="21" borderId="19" xfId="1" applyNumberFormat="1" applyFont="1" applyFill="1" applyBorder="1" applyAlignment="1" applyProtection="1">
      <protection locked="0"/>
    </xf>
    <xf numFmtId="0" fontId="13" fillId="21" borderId="21" xfId="1" applyNumberFormat="1" applyFont="1" applyFill="1" applyBorder="1" applyAlignment="1" applyProtection="1">
      <protection locked="0"/>
    </xf>
    <xf numFmtId="0" fontId="13" fillId="0" borderId="3" xfId="1" applyNumberFormat="1" applyFont="1" applyFill="1" applyBorder="1" applyAlignment="1" applyProtection="1">
      <protection locked="0"/>
    </xf>
    <xf numFmtId="0" fontId="13" fillId="0" borderId="31" xfId="1" applyNumberFormat="1" applyFont="1" applyFill="1" applyBorder="1" applyAlignment="1" applyProtection="1">
      <protection locked="0"/>
    </xf>
    <xf numFmtId="49" fontId="7" fillId="21" borderId="5" xfId="1" applyNumberFormat="1" applyFont="1" applyFill="1" applyBorder="1" applyAlignment="1" applyProtection="1">
      <alignment horizontal="righ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7" fillId="0" borderId="22" xfId="9" applyFont="1" applyBorder="1" applyProtection="1">
      <protection locked="0"/>
    </xf>
    <xf numFmtId="191" fontId="120" fillId="0" borderId="75" xfId="3" applyNumberFormat="1" applyFont="1" applyFill="1" applyBorder="1" applyAlignment="1" applyProtection="1">
      <alignment horizontal="center" vertical="center"/>
      <protection locked="0"/>
    </xf>
    <xf numFmtId="191" fontId="2" fillId="0" borderId="75" xfId="1" applyNumberFormat="1" applyFont="1" applyFill="1" applyBorder="1" applyAlignment="1" applyProtection="1">
      <alignment horizontal="center"/>
      <protection locked="0"/>
    </xf>
    <xf numFmtId="191" fontId="2" fillId="0" borderId="73" xfId="1" applyNumberFormat="1" applyFont="1" applyFill="1" applyBorder="1" applyAlignment="1" applyProtection="1">
      <alignment horizontal="center"/>
      <protection locked="0"/>
    </xf>
    <xf numFmtId="191" fontId="119" fillId="3" borderId="75" xfId="3" applyNumberFormat="1" applyFont="1" applyFill="1" applyBorder="1" applyAlignment="1" applyProtection="1">
      <alignment horizontal="center" vertical="center"/>
    </xf>
    <xf numFmtId="191" fontId="2" fillId="0" borderId="100" xfId="1" applyNumberFormat="1" applyFont="1" applyFill="1" applyBorder="1" applyAlignment="1" applyProtection="1">
      <alignment horizontal="center"/>
      <protection locked="0"/>
    </xf>
    <xf numFmtId="191" fontId="2" fillId="0" borderId="101" xfId="1" applyNumberFormat="1" applyFont="1" applyFill="1" applyBorder="1" applyAlignment="1" applyProtection="1">
      <alignment horizontal="center"/>
      <protection locked="0"/>
    </xf>
    <xf numFmtId="191" fontId="87" fillId="3" borderId="103" xfId="10" applyNumberFormat="1" applyFont="1" applyFill="1" applyBorder="1" applyAlignment="1" applyProtection="1">
      <alignment horizontal="center" vertical="center" wrapText="1"/>
    </xf>
    <xf numFmtId="191" fontId="2" fillId="0" borderId="72" xfId="10" applyNumberFormat="1" applyFont="1" applyBorder="1" applyAlignment="1" applyProtection="1">
      <alignment horizontal="center" vertical="center"/>
      <protection locked="0"/>
    </xf>
    <xf numFmtId="191" fontId="2" fillId="0" borderId="72" xfId="10" applyNumberFormat="1" applyFont="1" applyBorder="1" applyAlignment="1" applyProtection="1">
      <alignment horizontal="center"/>
      <protection locked="0"/>
    </xf>
    <xf numFmtId="191" fontId="87" fillId="3" borderId="73" xfId="10" applyNumberFormat="1" applyFont="1" applyFill="1" applyBorder="1" applyAlignment="1" applyProtection="1">
      <alignment horizontal="center"/>
    </xf>
    <xf numFmtId="191" fontId="2" fillId="0" borderId="73" xfId="10" applyNumberFormat="1" applyFont="1" applyBorder="1" applyAlignment="1" applyProtection="1">
      <alignment horizontal="center"/>
      <protection locked="0"/>
    </xf>
    <xf numFmtId="191" fontId="87" fillId="3" borderId="76" xfId="10" applyNumberFormat="1" applyFont="1" applyFill="1" applyBorder="1" applyAlignment="1" applyProtection="1">
      <alignment horizontal="center" vertical="center" wrapText="1"/>
    </xf>
    <xf numFmtId="191" fontId="2" fillId="0" borderId="74" xfId="10" applyNumberFormat="1" applyFont="1" applyBorder="1" applyAlignment="1" applyProtection="1">
      <alignment horizontal="center" vertical="center"/>
      <protection locked="0"/>
    </xf>
    <xf numFmtId="191" fontId="2" fillId="0" borderId="74" xfId="10" applyNumberFormat="1" applyFont="1" applyBorder="1" applyAlignment="1" applyProtection="1">
      <alignment horizontal="center"/>
      <protection locked="0"/>
    </xf>
    <xf numFmtId="191" fontId="2" fillId="0" borderId="73" xfId="10" applyNumberFormat="1" applyFont="1" applyFill="1" applyBorder="1" applyAlignment="1" applyProtection="1">
      <alignment horizontal="center"/>
      <protection locked="0"/>
    </xf>
    <xf numFmtId="191" fontId="2" fillId="0" borderId="73" xfId="10" applyNumberFormat="1" applyFont="1" applyFill="1" applyBorder="1" applyAlignment="1" applyProtection="1">
      <alignment horizontal="center" vertical="center"/>
      <protection locked="0"/>
    </xf>
    <xf numFmtId="191" fontId="2" fillId="0" borderId="72" xfId="10" applyNumberFormat="1" applyFont="1" applyFill="1" applyBorder="1" applyAlignment="1" applyProtection="1">
      <alignment horizontal="center"/>
      <protection locked="0"/>
    </xf>
    <xf numFmtId="0" fontId="64" fillId="13" borderId="2" xfId="9" applyFont="1" applyFill="1" applyBorder="1" applyAlignment="1" applyProtection="1">
      <alignment horizontal="center" vertical="top"/>
    </xf>
    <xf numFmtId="0" fontId="64" fillId="13" borderId="22" xfId="9" applyFont="1" applyFill="1" applyBorder="1" applyAlignment="1" applyProtection="1">
      <alignment horizontal="center" vertical="top"/>
    </xf>
    <xf numFmtId="0" fontId="7" fillId="0" borderId="0" xfId="9" applyFont="1" applyAlignment="1" applyProtection="1">
      <alignment horizontal="center"/>
      <protection locked="0"/>
    </xf>
    <xf numFmtId="0" fontId="15" fillId="0" borderId="0" xfId="9" applyAlignment="1" applyProtection="1">
      <alignment horizontal="center"/>
      <protection locked="0"/>
    </xf>
    <xf numFmtId="0" fontId="15" fillId="0" borderId="0" xfId="9" applyProtection="1">
      <protection locked="0"/>
    </xf>
    <xf numFmtId="0" fontId="13" fillId="22" borderId="5" xfId="9" applyFont="1" applyFill="1" applyBorder="1" applyAlignment="1" applyProtection="1">
      <alignment horizontal="right"/>
      <protection locked="0"/>
    </xf>
    <xf numFmtId="0" fontId="13" fillId="22" borderId="6" xfId="9" applyFont="1" applyFill="1" applyBorder="1" applyAlignment="1" applyProtection="1">
      <alignment horizontal="left"/>
      <protection locked="0"/>
    </xf>
    <xf numFmtId="0" fontId="13" fillId="22" borderId="7" xfId="9" applyFont="1" applyFill="1" applyBorder="1" applyAlignment="1" applyProtection="1">
      <alignment horizontal="left" vertical="top" wrapText="1"/>
      <protection locked="0"/>
    </xf>
    <xf numFmtId="0" fontId="7" fillId="22" borderId="6" xfId="9" applyFont="1" applyFill="1" applyBorder="1" applyAlignment="1" applyProtection="1">
      <alignment horizontal="left"/>
      <protection locked="0"/>
    </xf>
    <xf numFmtId="1" fontId="13" fillId="22" borderId="11" xfId="9" applyNumberFormat="1" applyFont="1" applyFill="1" applyBorder="1" applyAlignment="1" applyProtection="1">
      <alignment horizontal="center"/>
    </xf>
    <xf numFmtId="0" fontId="13" fillId="22" borderId="1" xfId="9" applyFont="1" applyFill="1" applyBorder="1" applyProtection="1">
      <protection locked="0"/>
    </xf>
    <xf numFmtId="0" fontId="10" fillId="18" borderId="8" xfId="9" applyFont="1" applyFill="1" applyBorder="1" applyAlignment="1" applyProtection="1">
      <alignment horizontal="center" vertical="center" wrapText="1" shrinkToFit="1"/>
      <protection locked="0"/>
    </xf>
    <xf numFmtId="0" fontId="10" fillId="18" borderId="11" xfId="9" applyFont="1" applyFill="1" applyBorder="1" applyAlignment="1" applyProtection="1">
      <alignment horizontal="center" vertical="center" wrapText="1" shrinkToFit="1"/>
      <protection locked="0"/>
    </xf>
    <xf numFmtId="0" fontId="10" fillId="18" borderId="11" xfId="9" applyFont="1" applyFill="1" applyBorder="1" applyAlignment="1" applyProtection="1">
      <alignment horizontal="center" vertical="center"/>
      <protection locked="0"/>
    </xf>
    <xf numFmtId="0" fontId="13" fillId="22" borderId="6" xfId="9" applyFont="1" applyFill="1" applyBorder="1" applyProtection="1">
      <protection locked="0"/>
    </xf>
    <xf numFmtId="0" fontId="13" fillId="22" borderId="5" xfId="9" applyFont="1" applyFill="1" applyBorder="1" applyAlignment="1" applyProtection="1">
      <alignment horizontal="left" vertical="top" wrapText="1"/>
      <protection locked="0"/>
    </xf>
    <xf numFmtId="0" fontId="7" fillId="22" borderId="1" xfId="9" applyFont="1" applyFill="1" applyBorder="1" applyAlignment="1" applyProtection="1">
      <alignment horizontal="left"/>
      <protection locked="0"/>
    </xf>
    <xf numFmtId="0" fontId="13" fillId="22" borderId="11" xfId="9" applyFont="1" applyFill="1" applyBorder="1" applyAlignment="1" applyProtection="1">
      <alignment horizontal="center"/>
    </xf>
    <xf numFmtId="0" fontId="13" fillId="22" borderId="9" xfId="9" applyFont="1" applyFill="1" applyBorder="1" applyProtection="1">
      <protection locked="0"/>
    </xf>
    <xf numFmtId="1" fontId="13" fillId="18" borderId="11" xfId="9" applyNumberFormat="1" applyFont="1" applyFill="1" applyBorder="1" applyAlignment="1" applyProtection="1">
      <alignment horizontal="center" vertical="center"/>
      <protection locked="0"/>
    </xf>
    <xf numFmtId="0" fontId="7" fillId="18" borderId="5" xfId="9" applyFont="1" applyFill="1" applyBorder="1" applyAlignment="1" applyProtection="1">
      <alignment horizontal="right" vertical="top"/>
      <protection locked="0"/>
    </xf>
    <xf numFmtId="0" fontId="7" fillId="18" borderId="5" xfId="9" applyFont="1" applyFill="1" applyBorder="1" applyProtection="1">
      <protection locked="0"/>
    </xf>
    <xf numFmtId="0" fontId="7" fillId="18" borderId="6" xfId="9" applyFont="1" applyFill="1" applyBorder="1" applyProtection="1">
      <protection locked="0"/>
    </xf>
    <xf numFmtId="0" fontId="7" fillId="18" borderId="6" xfId="9" applyFont="1" applyFill="1" applyBorder="1" applyAlignment="1" applyProtection="1">
      <alignment horizontal="left" vertical="center" wrapText="1"/>
      <protection locked="0"/>
    </xf>
    <xf numFmtId="0" fontId="13" fillId="18" borderId="52" xfId="9" applyFont="1" applyFill="1" applyBorder="1" applyAlignment="1" applyProtection="1">
      <alignment horizontal="right" vertical="center"/>
      <protection locked="0"/>
    </xf>
    <xf numFmtId="49" fontId="13" fillId="22" borderId="5" xfId="9" applyNumberFormat="1" applyFont="1" applyFill="1" applyBorder="1" applyAlignment="1" applyProtection="1">
      <alignment horizontal="right" vertical="top"/>
      <protection locked="0"/>
    </xf>
    <xf numFmtId="0" fontId="20" fillId="22" borderId="6" xfId="9" applyFont="1" applyFill="1" applyBorder="1" applyAlignment="1" applyProtection="1">
      <alignment horizontal="left"/>
      <protection locked="0"/>
    </xf>
    <xf numFmtId="0" fontId="7" fillId="22" borderId="7" xfId="9" applyFont="1" applyFill="1" applyBorder="1" applyAlignment="1" applyProtection="1">
      <alignment horizontal="left"/>
      <protection locked="0"/>
    </xf>
    <xf numFmtId="0" fontId="7" fillId="22" borderId="7" xfId="9" applyFont="1" applyFill="1" applyBorder="1" applyAlignment="1" applyProtection="1">
      <alignment horizontal="center" vertical="center"/>
      <protection locked="0"/>
    </xf>
    <xf numFmtId="0" fontId="13" fillId="22" borderId="11" xfId="9" applyFont="1" applyFill="1" applyBorder="1" applyProtection="1">
      <protection locked="0"/>
    </xf>
    <xf numFmtId="49" fontId="13" fillId="22" borderId="9" xfId="9" applyNumberFormat="1" applyFont="1" applyFill="1" applyBorder="1" applyAlignment="1" applyProtection="1">
      <alignment horizontal="right" vertical="top"/>
      <protection locked="0"/>
    </xf>
    <xf numFmtId="0" fontId="13" fillId="22" borderId="7" xfId="9" applyFont="1" applyFill="1" applyBorder="1" applyAlignment="1" applyProtection="1">
      <alignment horizontal="center" vertical="center"/>
      <protection locked="0"/>
    </xf>
    <xf numFmtId="49" fontId="9" fillId="18" borderId="9" xfId="9" applyNumberFormat="1" applyFont="1" applyFill="1" applyBorder="1" applyAlignment="1" applyProtection="1">
      <alignment horizontal="center" vertical="center"/>
      <protection locked="0"/>
    </xf>
    <xf numFmtId="0" fontId="9" fillId="18" borderId="1" xfId="9" applyFont="1" applyFill="1" applyBorder="1" applyAlignment="1" applyProtection="1">
      <alignment horizontal="left" vertical="top" wrapText="1"/>
      <protection locked="0"/>
    </xf>
    <xf numFmtId="0" fontId="13" fillId="18" borderId="1" xfId="9" applyFont="1" applyFill="1" applyBorder="1" applyAlignment="1" applyProtection="1">
      <alignment horizontal="right" vertical="top"/>
      <protection locked="0"/>
    </xf>
    <xf numFmtId="2" fontId="24" fillId="18" borderId="11" xfId="9" applyNumberFormat="1" applyFont="1" applyFill="1" applyBorder="1" applyAlignment="1" applyProtection="1">
      <alignment horizontal="center" vertical="center"/>
    </xf>
    <xf numFmtId="2" fontId="13" fillId="18" borderId="11" xfId="9" applyNumberFormat="1" applyFont="1" applyFill="1" applyBorder="1" applyAlignment="1" applyProtection="1">
      <alignment horizontal="center" vertical="top" wrapText="1"/>
    </xf>
    <xf numFmtId="0" fontId="7" fillId="21" borderId="11" xfId="9" applyFont="1" applyFill="1" applyBorder="1" applyAlignment="1" applyProtection="1">
      <alignment horizontal="center" vertical="center" wrapText="1"/>
      <protection locked="0"/>
    </xf>
    <xf numFmtId="0" fontId="7" fillId="21" borderId="11" xfId="9" applyFont="1" applyFill="1" applyBorder="1" applyAlignment="1" applyProtection="1">
      <alignment vertical="top" wrapText="1"/>
      <protection locked="0"/>
    </xf>
    <xf numFmtId="0" fontId="13" fillId="21" borderId="11" xfId="9" applyFont="1" applyFill="1" applyBorder="1" applyAlignment="1" applyProtection="1">
      <alignment horizontal="center" vertical="top" wrapText="1"/>
      <protection locked="0"/>
    </xf>
    <xf numFmtId="0" fontId="13" fillId="21" borderId="7" xfId="9" applyFont="1" applyFill="1" applyBorder="1" applyAlignment="1" applyProtection="1">
      <alignment horizontal="center" vertical="top" wrapText="1"/>
      <protection locked="0"/>
    </xf>
    <xf numFmtId="0" fontId="10" fillId="18" borderId="2" xfId="1" applyFont="1" applyFill="1" applyBorder="1" applyAlignment="1" applyProtection="1">
      <alignment horizontal="center" vertical="top" wrapText="1" shrinkToFit="1"/>
    </xf>
    <xf numFmtId="0" fontId="10" fillId="18" borderId="8" xfId="1" applyFont="1" applyFill="1" applyBorder="1" applyAlignment="1" applyProtection="1">
      <alignment horizontal="center" vertical="top" wrapText="1" shrinkToFit="1"/>
    </xf>
    <xf numFmtId="0" fontId="13" fillId="22" borderId="5" xfId="1" applyFont="1" applyFill="1" applyBorder="1" applyAlignment="1" applyProtection="1">
      <alignment horizontal="right"/>
    </xf>
    <xf numFmtId="0" fontId="13" fillId="22" borderId="6" xfId="1" applyFont="1" applyFill="1" applyBorder="1" applyProtection="1"/>
    <xf numFmtId="0" fontId="13" fillId="22" borderId="6" xfId="1" applyFont="1" applyFill="1" applyBorder="1" applyAlignment="1" applyProtection="1">
      <alignment horizontal="left" vertical="top" wrapText="1"/>
    </xf>
    <xf numFmtId="0" fontId="13" fillId="22" borderId="11" xfId="1" applyFont="1" applyFill="1" applyBorder="1" applyAlignment="1" applyProtection="1">
      <alignment horizontal="center"/>
    </xf>
    <xf numFmtId="1" fontId="13" fillId="22" borderId="11" xfId="1" applyNumberFormat="1" applyFont="1" applyFill="1" applyBorder="1" applyAlignment="1" applyProtection="1">
      <alignment horizontal="center"/>
    </xf>
    <xf numFmtId="2" fontId="13" fillId="22" borderId="7" xfId="1" applyNumberFormat="1" applyFont="1" applyFill="1" applyBorder="1" applyAlignment="1" applyProtection="1">
      <alignment horizontal="center"/>
    </xf>
    <xf numFmtId="49" fontId="13" fillId="22" borderId="5" xfId="1" applyNumberFormat="1" applyFont="1" applyFill="1" applyBorder="1" applyAlignment="1" applyProtection="1">
      <alignment horizontal="right"/>
    </xf>
    <xf numFmtId="0" fontId="10" fillId="18" borderId="2" xfId="1" applyFont="1" applyFill="1" applyBorder="1" applyAlignment="1" applyProtection="1">
      <alignment horizontal="center" vertical="top" wrapText="1" shrinkToFit="1"/>
      <protection locked="0"/>
    </xf>
    <xf numFmtId="0" fontId="10" fillId="18" borderId="8" xfId="1" applyFont="1" applyFill="1" applyBorder="1" applyAlignment="1" applyProtection="1">
      <alignment horizontal="center" vertical="top" wrapText="1" shrinkToFit="1"/>
      <protection locked="0"/>
    </xf>
    <xf numFmtId="0" fontId="13" fillId="22" borderId="5" xfId="1" applyFont="1" applyFill="1" applyBorder="1" applyAlignment="1" applyProtection="1">
      <alignment horizontal="right"/>
      <protection locked="0"/>
    </xf>
    <xf numFmtId="0" fontId="13" fillId="22" borderId="6" xfId="1" applyFont="1" applyFill="1" applyBorder="1" applyProtection="1">
      <protection locked="0"/>
    </xf>
    <xf numFmtId="0" fontId="13" fillId="22" borderId="5" xfId="1" applyFont="1" applyFill="1" applyBorder="1" applyAlignment="1" applyProtection="1">
      <alignment horizontal="left"/>
      <protection locked="0"/>
    </xf>
    <xf numFmtId="0" fontId="13" fillId="22" borderId="6" xfId="1" applyFont="1" applyFill="1" applyBorder="1" applyAlignment="1" applyProtection="1">
      <alignment horizontal="left"/>
      <protection locked="0"/>
    </xf>
    <xf numFmtId="0" fontId="13" fillId="22" borderId="7" xfId="1" applyFont="1" applyFill="1" applyBorder="1" applyAlignment="1" applyProtection="1">
      <alignment horizontal="left"/>
      <protection locked="0"/>
    </xf>
    <xf numFmtId="0" fontId="13" fillId="22" borderId="9" xfId="1" applyFont="1" applyFill="1" applyBorder="1" applyAlignment="1" applyProtection="1">
      <alignment horizontal="left"/>
      <protection locked="0"/>
    </xf>
    <xf numFmtId="0" fontId="7" fillId="22" borderId="6" xfId="1" applyFont="1" applyFill="1" applyBorder="1" applyAlignment="1" applyProtection="1">
      <alignment horizontal="center"/>
      <protection locked="0"/>
    </xf>
    <xf numFmtId="2" fontId="7" fillId="22" borderId="6" xfId="1" applyNumberFormat="1" applyFont="1" applyFill="1" applyBorder="1" applyAlignment="1" applyProtection="1">
      <alignment horizontal="center"/>
      <protection locked="0"/>
    </xf>
    <xf numFmtId="0" fontId="7" fillId="22" borderId="6" xfId="1" applyFont="1" applyFill="1" applyBorder="1" applyProtection="1">
      <protection locked="0"/>
    </xf>
    <xf numFmtId="2" fontId="13" fillId="22" borderId="7" xfId="1" applyNumberFormat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 wrapText="1" shrinkToFit="1"/>
      <protection locked="0"/>
    </xf>
    <xf numFmtId="0" fontId="7" fillId="21" borderId="11" xfId="1" applyFont="1" applyFill="1" applyBorder="1" applyAlignment="1" applyProtection="1">
      <alignment horizontal="center" vertical="center"/>
      <protection locked="0"/>
    </xf>
    <xf numFmtId="0" fontId="64" fillId="0" borderId="11" xfId="9" applyFont="1" applyFill="1" applyBorder="1" applyAlignment="1" applyProtection="1">
      <alignment horizontal="center" vertical="center"/>
    </xf>
    <xf numFmtId="2" fontId="84" fillId="3" borderId="11" xfId="9" applyNumberFormat="1" applyFont="1" applyFill="1" applyBorder="1" applyAlignment="1" applyProtection="1">
      <alignment horizontal="center" vertical="center"/>
    </xf>
    <xf numFmtId="4" fontId="84" fillId="3" borderId="11" xfId="9" applyNumberFormat="1" applyFont="1" applyFill="1" applyBorder="1" applyAlignment="1" applyProtection="1">
      <alignment horizontal="center" vertical="center"/>
    </xf>
    <xf numFmtId="4" fontId="89" fillId="3" borderId="14" xfId="9" applyNumberFormat="1" applyFont="1" applyFill="1" applyBorder="1" applyAlignment="1" applyProtection="1">
      <alignment horizontal="center" vertical="center"/>
    </xf>
    <xf numFmtId="4" fontId="89" fillId="3" borderId="24" xfId="9" applyNumberFormat="1" applyFont="1" applyFill="1" applyBorder="1" applyAlignment="1" applyProtection="1">
      <alignment horizontal="center" vertical="center"/>
    </xf>
    <xf numFmtId="4" fontId="89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37" fillId="0" borderId="8" xfId="9" applyFont="1" applyBorder="1" applyAlignment="1" applyProtection="1">
      <alignment horizontal="center" vertical="center"/>
    </xf>
    <xf numFmtId="0" fontId="15" fillId="0" borderId="28" xfId="9" applyFill="1" applyBorder="1" applyAlignment="1" applyProtection="1">
      <alignment horizontal="center" vertical="center"/>
    </xf>
    <xf numFmtId="0" fontId="84" fillId="0" borderId="8" xfId="9" applyFont="1" applyFill="1" applyBorder="1" applyAlignment="1" applyProtection="1">
      <alignment horizontal="center" vertical="center"/>
    </xf>
    <xf numFmtId="0" fontId="89" fillId="0" borderId="14" xfId="9" applyFont="1" applyFill="1" applyBorder="1" applyAlignment="1" applyProtection="1">
      <alignment horizontal="center" vertical="center"/>
    </xf>
    <xf numFmtId="0" fontId="89" fillId="0" borderId="24" xfId="9" applyFont="1" applyFill="1" applyBorder="1" applyAlignment="1" applyProtection="1">
      <alignment horizontal="center" vertical="center"/>
    </xf>
    <xf numFmtId="0" fontId="84" fillId="3" borderId="11" xfId="9" applyFont="1" applyFill="1" applyBorder="1" applyAlignment="1" applyProtection="1">
      <alignment horizontal="center" vertical="center"/>
    </xf>
    <xf numFmtId="0" fontId="89" fillId="3" borderId="14" xfId="9" applyFont="1" applyFill="1" applyBorder="1" applyAlignment="1" applyProtection="1">
      <alignment horizontal="center" vertical="center"/>
    </xf>
    <xf numFmtId="0" fontId="89" fillId="3" borderId="24" xfId="9" applyFont="1" applyFill="1" applyBorder="1" applyAlignment="1" applyProtection="1">
      <alignment horizontal="center" vertical="center"/>
    </xf>
    <xf numFmtId="0" fontId="15" fillId="15" borderId="8" xfId="9" applyFill="1" applyBorder="1" applyAlignment="1" applyProtection="1">
      <alignment horizontal="center"/>
    </xf>
    <xf numFmtId="0" fontId="64" fillId="13" borderId="8" xfId="9" applyFont="1" applyFill="1" applyBorder="1" applyAlignment="1" applyProtection="1">
      <alignment horizontal="center" vertical="top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2" fillId="0" borderId="169" xfId="3" applyFont="1" applyBorder="1" applyAlignment="1" applyProtection="1">
      <alignment horizontal="center"/>
      <protection locked="0"/>
    </xf>
    <xf numFmtId="0" fontId="2" fillId="0" borderId="173" xfId="3" applyFont="1" applyBorder="1" applyAlignment="1" applyProtection="1">
      <alignment horizontal="center"/>
      <protection locked="0"/>
    </xf>
    <xf numFmtId="0" fontId="73" fillId="0" borderId="0" xfId="3" applyFont="1" applyAlignment="1" applyProtection="1">
      <alignment horizontal="center"/>
      <protection locked="0"/>
    </xf>
    <xf numFmtId="188" fontId="2" fillId="0" borderId="73" xfId="0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8" fillId="0" borderId="11" xfId="1" applyFont="1" applyBorder="1" applyAlignment="1">
      <alignment horizontal="center"/>
    </xf>
    <xf numFmtId="0" fontId="18" fillId="5" borderId="5" xfId="1" applyFont="1" applyFill="1" applyBorder="1" applyAlignment="1">
      <alignment horizontal="center" vertical="center"/>
    </xf>
    <xf numFmtId="0" fontId="18" fillId="5" borderId="6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5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6" borderId="0" xfId="9" applyFont="1" applyFill="1" applyBorder="1" applyAlignment="1" applyProtection="1">
      <alignment horizontal="left" vertical="top" wrapText="1"/>
    </xf>
    <xf numFmtId="0" fontId="9" fillId="6" borderId="1" xfId="9" applyFont="1" applyFill="1" applyBorder="1" applyAlignment="1" applyProtection="1">
      <alignment horizontal="left" vertical="top" wrapText="1"/>
    </xf>
    <xf numFmtId="0" fontId="9" fillId="0" borderId="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 vertical="top" wrapText="1"/>
    </xf>
    <xf numFmtId="0" fontId="7" fillId="6" borderId="1" xfId="9" applyFont="1" applyFill="1" applyBorder="1" applyAlignment="1" applyProtection="1">
      <alignment horizontal="left" vertical="top" wrapText="1"/>
    </xf>
    <xf numFmtId="0" fontId="10" fillId="18" borderId="11" xfId="9" applyFont="1" applyFill="1" applyBorder="1" applyAlignment="1" applyProtection="1">
      <alignment horizontal="center" vertical="center" shrinkToFit="1"/>
      <protection locked="0"/>
    </xf>
    <xf numFmtId="0" fontId="11" fillId="18" borderId="3" xfId="9" applyFont="1" applyFill="1" applyBorder="1" applyAlignment="1" applyProtection="1">
      <alignment horizontal="center" vertical="center" wrapText="1" shrinkToFit="1"/>
      <protection locked="0"/>
    </xf>
    <xf numFmtId="0" fontId="11" fillId="18" borderId="4" xfId="9" applyFont="1" applyFill="1" applyBorder="1" applyAlignment="1" applyProtection="1">
      <alignment horizontal="center" vertical="center" wrapText="1" shrinkToFit="1"/>
      <protection locked="0"/>
    </xf>
    <xf numFmtId="0" fontId="11" fillId="18" borderId="31" xfId="9" applyFont="1" applyFill="1" applyBorder="1" applyAlignment="1" applyProtection="1">
      <alignment horizontal="center" vertical="center" wrapText="1" shrinkToFit="1"/>
      <protection locked="0"/>
    </xf>
    <xf numFmtId="0" fontId="11" fillId="18" borderId="9" xfId="9" applyFont="1" applyFill="1" applyBorder="1" applyAlignment="1" applyProtection="1">
      <alignment horizontal="center" vertical="center" wrapText="1" shrinkToFit="1"/>
      <protection locked="0"/>
    </xf>
    <xf numFmtId="0" fontId="11" fillId="18" borderId="1" xfId="9" applyFont="1" applyFill="1" applyBorder="1" applyAlignment="1" applyProtection="1">
      <alignment horizontal="center" vertical="center" wrapText="1" shrinkToFit="1"/>
      <protection locked="0"/>
    </xf>
    <xf numFmtId="0" fontId="11" fillId="18" borderId="10" xfId="9" applyFont="1" applyFill="1" applyBorder="1" applyAlignment="1" applyProtection="1">
      <alignment horizontal="center" vertical="center" wrapText="1" shrinkToFit="1"/>
      <protection locked="0"/>
    </xf>
    <xf numFmtId="0" fontId="10" fillId="18" borderId="3" xfId="9" applyFont="1" applyFill="1" applyBorder="1" applyAlignment="1" applyProtection="1">
      <alignment horizontal="center" vertical="center" wrapText="1" shrinkToFit="1"/>
      <protection locked="0"/>
    </xf>
    <xf numFmtId="0" fontId="10" fillId="18" borderId="31" xfId="9" applyFont="1" applyFill="1" applyBorder="1" applyAlignment="1" applyProtection="1">
      <alignment horizontal="center" vertical="center" wrapText="1" shrinkToFit="1"/>
      <protection locked="0"/>
    </xf>
    <xf numFmtId="0" fontId="10" fillId="18" borderId="9" xfId="9" applyFont="1" applyFill="1" applyBorder="1" applyAlignment="1" applyProtection="1">
      <alignment horizontal="center" vertical="center" wrapText="1" shrinkToFit="1"/>
      <protection locked="0"/>
    </xf>
    <xf numFmtId="0" fontId="10" fillId="18" borderId="10" xfId="9" applyFont="1" applyFill="1" applyBorder="1" applyAlignment="1" applyProtection="1">
      <alignment horizontal="center" vertical="center" wrapText="1" shrinkToFit="1"/>
      <protection locked="0"/>
    </xf>
    <xf numFmtId="0" fontId="10" fillId="18" borderId="31" xfId="9" applyFont="1" applyFill="1" applyBorder="1" applyAlignment="1" applyProtection="1">
      <alignment horizontal="center" vertical="center" wrapText="1" shrinkToFit="1"/>
    </xf>
    <xf numFmtId="0" fontId="10" fillId="18" borderId="10" xfId="9" applyFont="1" applyFill="1" applyBorder="1" applyAlignment="1" applyProtection="1">
      <alignment horizontal="center" vertical="center" wrapText="1" shrinkToFit="1"/>
    </xf>
    <xf numFmtId="0" fontId="10" fillId="18" borderId="4" xfId="9" applyFont="1" applyFill="1" applyBorder="1" applyAlignment="1" applyProtection="1">
      <alignment horizontal="center" vertical="center" wrapText="1" shrinkToFit="1"/>
      <protection locked="0"/>
    </xf>
    <xf numFmtId="0" fontId="10" fillId="18" borderId="1" xfId="9" applyFont="1" applyFill="1" applyBorder="1" applyAlignment="1" applyProtection="1">
      <alignment horizontal="center" vertical="center" wrapText="1" shrinkToFit="1"/>
      <protection locked="0"/>
    </xf>
    <xf numFmtId="0" fontId="10" fillId="18" borderId="3" xfId="9" applyFont="1" applyFill="1" applyBorder="1" applyAlignment="1" applyProtection="1">
      <alignment horizontal="center" vertical="center" shrinkToFit="1"/>
      <protection locked="0"/>
    </xf>
    <xf numFmtId="0" fontId="10" fillId="18" borderId="4" xfId="9" applyFont="1" applyFill="1" applyBorder="1" applyAlignment="1" applyProtection="1">
      <alignment horizontal="center" vertical="center" shrinkToFit="1"/>
      <protection locked="0"/>
    </xf>
    <xf numFmtId="0" fontId="10" fillId="18" borderId="31" xfId="9" applyFont="1" applyFill="1" applyBorder="1" applyAlignment="1" applyProtection="1">
      <alignment horizontal="center" vertical="center" shrinkToFit="1"/>
      <protection locked="0"/>
    </xf>
    <xf numFmtId="0" fontId="10" fillId="18" borderId="9" xfId="9" applyFont="1" applyFill="1" applyBorder="1" applyAlignment="1" applyProtection="1">
      <alignment horizontal="center" vertical="center" shrinkToFit="1"/>
      <protection locked="0"/>
    </xf>
    <xf numFmtId="0" fontId="10" fillId="18" borderId="1" xfId="9" applyFont="1" applyFill="1" applyBorder="1" applyAlignment="1" applyProtection="1">
      <alignment horizontal="center" vertical="center" shrinkToFit="1"/>
      <protection locked="0"/>
    </xf>
    <xf numFmtId="0" fontId="10" fillId="18" borderId="10" xfId="9" applyFont="1" applyFill="1" applyBorder="1" applyAlignment="1" applyProtection="1">
      <alignment horizontal="center" vertical="center" shrinkToFit="1"/>
      <protection locked="0"/>
    </xf>
    <xf numFmtId="0" fontId="10" fillId="18" borderId="2" xfId="9" applyFont="1" applyFill="1" applyBorder="1" applyAlignment="1" applyProtection="1">
      <alignment horizontal="center" vertical="center" wrapText="1" shrinkToFit="1"/>
      <protection locked="0"/>
    </xf>
    <xf numFmtId="0" fontId="10" fillId="18" borderId="8" xfId="9" applyFont="1" applyFill="1" applyBorder="1" applyAlignment="1" applyProtection="1">
      <alignment horizontal="center" vertical="center" wrapText="1" shrinkToFit="1"/>
      <protection locked="0"/>
    </xf>
    <xf numFmtId="0" fontId="10" fillId="18" borderId="5" xfId="9" applyFont="1" applyFill="1" applyBorder="1" applyAlignment="1" applyProtection="1">
      <alignment horizontal="center" vertical="center" wrapText="1" shrinkToFit="1"/>
      <protection locked="0"/>
    </xf>
    <xf numFmtId="0" fontId="10" fillId="18" borderId="6" xfId="9" applyFont="1" applyFill="1" applyBorder="1" applyAlignment="1" applyProtection="1">
      <alignment horizontal="center" vertical="center" wrapText="1" shrinkToFit="1"/>
      <protection locked="0"/>
    </xf>
    <xf numFmtId="0" fontId="10" fillId="18" borderId="7" xfId="9" applyFont="1" applyFill="1" applyBorder="1" applyAlignment="1" applyProtection="1">
      <alignment horizontal="center" vertical="center" wrapText="1" shrinkToFit="1"/>
      <protection locked="0"/>
    </xf>
    <xf numFmtId="0" fontId="7" fillId="21" borderId="36" xfId="9" applyFont="1" applyFill="1" applyBorder="1" applyAlignment="1" applyProtection="1">
      <alignment horizontal="center" vertical="center" wrapText="1"/>
      <protection locked="0"/>
    </xf>
    <xf numFmtId="0" fontId="7" fillId="21" borderId="37" xfId="9" applyFont="1" applyFill="1" applyBorder="1" applyAlignment="1" applyProtection="1">
      <alignment horizontal="center" vertical="center" wrapText="1"/>
      <protection locked="0"/>
    </xf>
    <xf numFmtId="0" fontId="33" fillId="0" borderId="42" xfId="9" applyFont="1" applyBorder="1" applyAlignment="1" applyProtection="1">
      <alignment horizontal="left" vertical="center" wrapText="1" shrinkToFit="1"/>
    </xf>
    <xf numFmtId="0" fontId="33" fillId="0" borderId="6" xfId="9" applyFont="1" applyBorder="1" applyAlignment="1" applyProtection="1">
      <alignment horizontal="left" vertical="center" wrapText="1" shrinkToFit="1"/>
    </xf>
    <xf numFmtId="0" fontId="33" fillId="0" borderId="7" xfId="9" applyFont="1" applyBorder="1" applyAlignment="1" applyProtection="1">
      <alignment horizontal="left" vertical="center" wrapText="1" shrinkToFit="1"/>
    </xf>
    <xf numFmtId="0" fontId="13" fillId="22" borderId="9" xfId="9" applyFont="1" applyFill="1" applyBorder="1" applyAlignment="1" applyProtection="1">
      <alignment horizontal="center"/>
      <protection locked="0"/>
    </xf>
    <xf numFmtId="0" fontId="13" fillId="22" borderId="10" xfId="9" applyFont="1" applyFill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/>
    </xf>
    <xf numFmtId="0" fontId="9" fillId="0" borderId="5" xfId="9" applyFont="1" applyBorder="1" applyAlignment="1" applyProtection="1">
      <alignment horizontal="left" vertical="top" wrapText="1"/>
      <protection locked="0"/>
    </xf>
    <xf numFmtId="0" fontId="9" fillId="0" borderId="6" xfId="9" applyFont="1" applyBorder="1" applyAlignment="1" applyProtection="1">
      <alignment horizontal="left" vertical="top" wrapText="1"/>
      <protection locked="0"/>
    </xf>
    <xf numFmtId="0" fontId="9" fillId="0" borderId="7" xfId="9" applyFont="1" applyBorder="1" applyAlignment="1" applyProtection="1">
      <alignment horizontal="left" vertical="top" wrapText="1"/>
      <protection locked="0"/>
    </xf>
    <xf numFmtId="0" fontId="13" fillId="22" borderId="5" xfId="9" applyFont="1" applyFill="1" applyBorder="1" applyAlignment="1" applyProtection="1">
      <alignment horizontal="center"/>
      <protection locked="0"/>
    </xf>
    <xf numFmtId="0" fontId="13" fillId="22" borderId="7" xfId="9" applyFont="1" applyFill="1" applyBorder="1" applyAlignment="1" applyProtection="1">
      <alignment horizontal="center"/>
      <protection locked="0"/>
    </xf>
    <xf numFmtId="0" fontId="9" fillId="21" borderId="5" xfId="9" applyFont="1" applyFill="1" applyBorder="1" applyAlignment="1" applyProtection="1">
      <alignment horizontal="center" vertical="center" wrapText="1"/>
      <protection locked="0"/>
    </xf>
    <xf numFmtId="0" fontId="9" fillId="21" borderId="7" xfId="9" applyFont="1" applyFill="1" applyBorder="1" applyAlignment="1" applyProtection="1">
      <alignment horizontal="center" vertical="center" wrapText="1"/>
      <protection locked="0"/>
    </xf>
    <xf numFmtId="0" fontId="22" fillId="6" borderId="0" xfId="9" applyFont="1" applyFill="1" applyBorder="1" applyAlignment="1" applyProtection="1">
      <alignment horizontal="left"/>
    </xf>
    <xf numFmtId="0" fontId="7" fillId="0" borderId="5" xfId="9" applyFont="1" applyBorder="1" applyAlignment="1" applyProtection="1">
      <alignment horizontal="left" vertical="center" wrapText="1"/>
      <protection locked="0"/>
    </xf>
    <xf numFmtId="0" fontId="7" fillId="0" borderId="6" xfId="9" applyFont="1" applyBorder="1" applyAlignment="1" applyProtection="1">
      <alignment horizontal="left" vertical="center" wrapText="1"/>
      <protection locked="0"/>
    </xf>
    <xf numFmtId="0" fontId="7" fillId="0" borderId="7" xfId="9" applyFont="1" applyBorder="1" applyAlignment="1" applyProtection="1">
      <alignment horizontal="left" vertical="center" wrapText="1"/>
      <protection locked="0"/>
    </xf>
    <xf numFmtId="0" fontId="7" fillId="0" borderId="1" xfId="9" applyFont="1" applyBorder="1" applyAlignment="1" applyProtection="1">
      <alignment horizontal="left" vertical="center"/>
      <protection locked="0"/>
    </xf>
    <xf numFmtId="0" fontId="7" fillId="0" borderId="10" xfId="9" applyFont="1" applyBorder="1" applyAlignment="1" applyProtection="1">
      <alignment horizontal="left" vertical="center"/>
      <protection locked="0"/>
    </xf>
    <xf numFmtId="0" fontId="13" fillId="0" borderId="50" xfId="9" applyFont="1" applyBorder="1" applyAlignment="1" applyProtection="1">
      <alignment horizontal="center" vertical="top" wrapText="1"/>
    </xf>
    <xf numFmtId="0" fontId="13" fillId="0" borderId="51" xfId="9" applyFont="1" applyBorder="1" applyAlignment="1" applyProtection="1">
      <alignment horizontal="center" vertical="top" wrapText="1"/>
    </xf>
    <xf numFmtId="0" fontId="9" fillId="0" borderId="6" xfId="9" applyFont="1" applyBorder="1" applyAlignment="1" applyProtection="1">
      <alignment horizontal="left" vertical="top" wrapText="1"/>
    </xf>
    <xf numFmtId="0" fontId="9" fillId="0" borderId="7" xfId="9" applyFont="1" applyBorder="1" applyAlignment="1" applyProtection="1">
      <alignment horizontal="left" vertical="top" wrapText="1"/>
    </xf>
    <xf numFmtId="0" fontId="9" fillId="0" borderId="49" xfId="9" applyFont="1" applyBorder="1" applyAlignment="1" applyProtection="1">
      <alignment horizontal="left" vertical="top" wrapText="1"/>
      <protection locked="0"/>
    </xf>
    <xf numFmtId="0" fontId="7" fillId="0" borderId="41" xfId="9" applyFont="1" applyBorder="1" applyAlignment="1" applyProtection="1">
      <alignment horizontal="center" vertical="top" wrapText="1"/>
      <protection locked="0"/>
    </xf>
    <xf numFmtId="0" fontId="7" fillId="0" borderId="42" xfId="9" applyNumberFormat="1" applyFont="1" applyBorder="1" applyAlignment="1" applyProtection="1">
      <alignment horizontal="left" vertical="top" wrapText="1" shrinkToFit="1"/>
      <protection locked="0"/>
    </xf>
    <xf numFmtId="0" fontId="7" fillId="0" borderId="6" xfId="9" applyNumberFormat="1" applyFont="1" applyBorder="1" applyAlignment="1" applyProtection="1">
      <alignment horizontal="left" vertical="top" wrapText="1" shrinkToFit="1"/>
      <protection locked="0"/>
    </xf>
    <xf numFmtId="0" fontId="7" fillId="0" borderId="7" xfId="9" applyNumberFormat="1" applyFont="1" applyBorder="1" applyAlignment="1" applyProtection="1">
      <alignment horizontal="left" vertical="top" wrapText="1" shrinkToFit="1"/>
      <protection locked="0"/>
    </xf>
    <xf numFmtId="0" fontId="10" fillId="18" borderId="5" xfId="9" applyNumberFormat="1" applyFont="1" applyFill="1" applyBorder="1" applyAlignment="1" applyProtection="1">
      <alignment horizontal="center" vertical="center" wrapText="1" shrinkToFit="1"/>
      <protection locked="0"/>
    </xf>
    <xf numFmtId="0" fontId="10" fillId="18" borderId="6" xfId="9" applyNumberFormat="1" applyFont="1" applyFill="1" applyBorder="1" applyAlignment="1" applyProtection="1">
      <alignment horizontal="center" vertical="center" wrapText="1" shrinkToFit="1"/>
      <protection locked="0"/>
    </xf>
    <xf numFmtId="0" fontId="10" fillId="18" borderId="7" xfId="9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1" xfId="9" applyFont="1" applyFill="1" applyBorder="1" applyAlignment="1" applyProtection="1">
      <alignment horizontal="center"/>
      <protection locked="0"/>
    </xf>
    <xf numFmtId="0" fontId="7" fillId="0" borderId="5" xfId="9" applyFont="1" applyBorder="1" applyAlignment="1" applyProtection="1">
      <alignment horizontal="center"/>
      <protection locked="0"/>
    </xf>
    <xf numFmtId="0" fontId="7" fillId="0" borderId="7" xfId="9" applyFont="1" applyBorder="1" applyAlignment="1" applyProtection="1">
      <alignment horizontal="center"/>
      <protection locked="0"/>
    </xf>
    <xf numFmtId="0" fontId="7" fillId="0" borderId="5" xfId="9" applyFont="1" applyFill="1" applyBorder="1" applyAlignment="1" applyProtection="1">
      <alignment horizontal="center" vertical="center"/>
      <protection locked="0"/>
    </xf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5" xfId="9" applyFont="1" applyBorder="1" applyAlignment="1" applyProtection="1">
      <alignment horizontal="center" vertical="center"/>
      <protection locked="0"/>
    </xf>
    <xf numFmtId="0" fontId="7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3" borderId="6" xfId="9" applyFont="1" applyFill="1" applyBorder="1" applyAlignment="1" applyProtection="1">
      <alignment horizontal="left" vertical="center"/>
      <protection locked="0"/>
    </xf>
    <xf numFmtId="0" fontId="13" fillId="3" borderId="1" xfId="9" applyFont="1" applyFill="1" applyBorder="1" applyAlignment="1" applyProtection="1">
      <alignment horizontal="left" vertical="center"/>
      <protection locked="0"/>
    </xf>
    <xf numFmtId="0" fontId="13" fillId="3" borderId="10" xfId="9" applyFont="1" applyFill="1" applyBorder="1" applyAlignment="1" applyProtection="1">
      <alignment horizontal="left" vertical="center"/>
      <protection locked="0"/>
    </xf>
    <xf numFmtId="0" fontId="16" fillId="6" borderId="5" xfId="9" applyFont="1" applyFill="1" applyBorder="1" applyAlignment="1" applyProtection="1">
      <alignment horizontal="center" vertical="center"/>
    </xf>
    <xf numFmtId="0" fontId="16" fillId="6" borderId="6" xfId="9" applyFont="1" applyFill="1" applyBorder="1" applyAlignment="1" applyProtection="1">
      <alignment horizontal="center" vertical="center"/>
    </xf>
    <xf numFmtId="0" fontId="16" fillId="6" borderId="7" xfId="9" applyFont="1" applyFill="1" applyBorder="1" applyAlignment="1" applyProtection="1">
      <alignment horizontal="center" vertical="center"/>
    </xf>
    <xf numFmtId="0" fontId="7" fillId="0" borderId="0" xfId="9" applyFont="1" applyFill="1" applyBorder="1" applyAlignment="1" applyProtection="1">
      <alignment horizontal="left" vertical="top" wrapText="1"/>
    </xf>
    <xf numFmtId="0" fontId="13" fillId="18" borderId="6" xfId="9" applyFont="1" applyFill="1" applyBorder="1" applyAlignment="1" applyProtection="1">
      <alignment horizontal="right" vertical="center"/>
      <protection locked="0"/>
    </xf>
    <xf numFmtId="0" fontId="13" fillId="18" borderId="7" xfId="9" applyFont="1" applyFill="1" applyBorder="1" applyAlignment="1" applyProtection="1">
      <alignment horizontal="right" vertical="center"/>
      <protection locked="0"/>
    </xf>
    <xf numFmtId="0" fontId="13" fillId="2" borderId="9" xfId="9" applyFont="1" applyFill="1" applyBorder="1" applyAlignment="1" applyProtection="1">
      <alignment horizontal="left" vertical="center"/>
      <protection locked="0"/>
    </xf>
    <xf numFmtId="0" fontId="13" fillId="2" borderId="1" xfId="9" applyFont="1" applyFill="1" applyBorder="1" applyAlignment="1" applyProtection="1">
      <alignment horizontal="left" vertical="center"/>
      <protection locked="0"/>
    </xf>
    <xf numFmtId="0" fontId="13" fillId="2" borderId="10" xfId="9" applyFont="1" applyFill="1" applyBorder="1" applyAlignment="1" applyProtection="1">
      <alignment horizontal="left" vertical="center"/>
      <protection locked="0"/>
    </xf>
    <xf numFmtId="0" fontId="13" fillId="3" borderId="7" xfId="9" applyFont="1" applyFill="1" applyBorder="1" applyAlignment="1" applyProtection="1">
      <alignment horizontal="left" vertical="center"/>
      <protection locked="0"/>
    </xf>
    <xf numFmtId="0" fontId="7" fillId="18" borderId="6" xfId="9" applyFont="1" applyFill="1" applyBorder="1" applyAlignment="1" applyProtection="1">
      <alignment horizontal="center" vertical="top" wrapText="1"/>
      <protection locked="0"/>
    </xf>
    <xf numFmtId="0" fontId="7" fillId="0" borderId="43" xfId="9" applyFont="1" applyBorder="1" applyAlignment="1" applyProtection="1">
      <alignment horizontal="center" vertical="top" wrapText="1"/>
      <protection locked="0"/>
    </xf>
    <xf numFmtId="0" fontId="7" fillId="21" borderId="34" xfId="9" applyFont="1" applyFill="1" applyBorder="1" applyAlignment="1" applyProtection="1">
      <alignment horizontal="center" vertical="center" wrapText="1"/>
      <protection locked="0"/>
    </xf>
    <xf numFmtId="0" fontId="7" fillId="21" borderId="35" xfId="9" applyFont="1" applyFill="1" applyBorder="1" applyAlignment="1" applyProtection="1">
      <alignment horizontal="center" vertical="center" wrapText="1"/>
      <protection locked="0"/>
    </xf>
    <xf numFmtId="0" fontId="7" fillId="6" borderId="0" xfId="9" applyFont="1" applyFill="1" applyBorder="1" applyAlignment="1" applyProtection="1">
      <alignment horizontal="center" vertical="top" wrapText="1"/>
    </xf>
    <xf numFmtId="0" fontId="7" fillId="6" borderId="13" xfId="9" applyFont="1" applyFill="1" applyBorder="1" applyAlignment="1" applyProtection="1">
      <alignment horizontal="center" vertical="top" wrapText="1"/>
    </xf>
    <xf numFmtId="0" fontId="43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" fillId="0" borderId="9" xfId="9" applyFont="1" applyBorder="1" applyAlignment="1" applyProtection="1">
      <alignment vertical="top" wrapText="1"/>
      <protection locked="0"/>
    </xf>
    <xf numFmtId="0" fontId="12" fillId="0" borderId="1" xfId="9" applyFont="1" applyBorder="1" applyAlignment="1" applyProtection="1">
      <alignment vertical="top" wrapText="1"/>
      <protection locked="0"/>
    </xf>
    <xf numFmtId="0" fontId="12" fillId="0" borderId="10" xfId="9" applyFont="1" applyBorder="1" applyAlignment="1" applyProtection="1">
      <alignment vertical="top" wrapText="1"/>
      <protection locked="0"/>
    </xf>
    <xf numFmtId="49" fontId="9" fillId="0" borderId="7" xfId="9" applyNumberFormat="1" applyFont="1" applyBorder="1" applyAlignment="1" applyProtection="1">
      <alignment horizontal="left" vertical="top" wrapText="1"/>
      <protection locked="0"/>
    </xf>
    <xf numFmtId="49" fontId="9" fillId="0" borderId="11" xfId="9" applyNumberFormat="1" applyFont="1" applyBorder="1" applyAlignment="1" applyProtection="1">
      <alignment horizontal="left" vertical="top" wrapText="1"/>
      <protection locked="0"/>
    </xf>
    <xf numFmtId="0" fontId="9" fillId="21" borderId="9" xfId="9" applyFont="1" applyFill="1" applyBorder="1" applyAlignment="1" applyProtection="1">
      <alignment horizontal="center" vertical="center" wrapText="1"/>
      <protection locked="0"/>
    </xf>
    <xf numFmtId="0" fontId="9" fillId="21" borderId="10" xfId="9" applyFont="1" applyFill="1" applyBorder="1" applyAlignment="1" applyProtection="1">
      <alignment horizontal="center" vertical="center" wrapText="1"/>
      <protection locked="0"/>
    </xf>
    <xf numFmtId="2" fontId="13" fillId="18" borderId="11" xfId="9" applyNumberFormat="1" applyFont="1" applyFill="1" applyBorder="1" applyAlignment="1" applyProtection="1">
      <alignment horizontal="center" vertical="top" wrapText="1"/>
    </xf>
    <xf numFmtId="2" fontId="24" fillId="18" borderId="11" xfId="9" applyNumberFormat="1" applyFont="1" applyFill="1" applyBorder="1" applyAlignment="1" applyProtection="1">
      <alignment horizontal="center" vertical="top" wrapText="1"/>
    </xf>
    <xf numFmtId="0" fontId="7" fillId="21" borderId="5" xfId="9" applyFont="1" applyFill="1" applyBorder="1" applyAlignment="1" applyProtection="1">
      <alignment horizontal="left"/>
      <protection locked="0"/>
    </xf>
    <xf numFmtId="0" fontId="7" fillId="21" borderId="6" xfId="9" applyFont="1" applyFill="1" applyBorder="1" applyAlignment="1" applyProtection="1">
      <alignment horizontal="left"/>
      <protection locked="0"/>
    </xf>
    <xf numFmtId="0" fontId="7" fillId="21" borderId="7" xfId="9" applyFont="1" applyFill="1" applyBorder="1" applyAlignment="1" applyProtection="1">
      <alignment horizontal="left"/>
      <protection locked="0"/>
    </xf>
    <xf numFmtId="49" fontId="22" fillId="21" borderId="6" xfId="9" applyNumberFormat="1" applyFont="1" applyFill="1" applyBorder="1" applyAlignment="1" applyProtection="1">
      <alignment horizontal="left" vertical="top" wrapText="1"/>
      <protection locked="0"/>
    </xf>
    <xf numFmtId="49" fontId="22" fillId="21" borderId="7" xfId="9" applyNumberFormat="1" applyFont="1" applyFill="1" applyBorder="1" applyAlignment="1" applyProtection="1">
      <alignment horizontal="left" vertical="top" wrapText="1"/>
      <protection locked="0"/>
    </xf>
    <xf numFmtId="0" fontId="34" fillId="18" borderId="3" xfId="9" applyFont="1" applyFill="1" applyBorder="1" applyAlignment="1" applyProtection="1">
      <alignment horizontal="left" vertical="center" wrapText="1"/>
      <protection locked="0"/>
    </xf>
    <xf numFmtId="0" fontId="34" fillId="18" borderId="4" xfId="9" applyFont="1" applyFill="1" applyBorder="1" applyAlignment="1" applyProtection="1">
      <alignment horizontal="left" vertical="center" wrapText="1"/>
      <protection locked="0"/>
    </xf>
    <xf numFmtId="0" fontId="34" fillId="18" borderId="31" xfId="9" applyFont="1" applyFill="1" applyBorder="1" applyAlignment="1" applyProtection="1">
      <alignment horizontal="left" vertical="center" wrapText="1"/>
      <protection locked="0"/>
    </xf>
    <xf numFmtId="0" fontId="34" fillId="18" borderId="9" xfId="9" applyFont="1" applyFill="1" applyBorder="1" applyAlignment="1" applyProtection="1">
      <alignment horizontal="left" vertical="center" wrapText="1"/>
      <protection locked="0"/>
    </xf>
    <xf numFmtId="0" fontId="34" fillId="18" borderId="1" xfId="9" applyFont="1" applyFill="1" applyBorder="1" applyAlignment="1" applyProtection="1">
      <alignment horizontal="left" vertical="center" wrapText="1"/>
      <protection locked="0"/>
    </xf>
    <xf numFmtId="0" fontId="34" fillId="18" borderId="10" xfId="9" applyFont="1" applyFill="1" applyBorder="1" applyAlignment="1" applyProtection="1">
      <alignment horizontal="left" vertical="center" wrapText="1"/>
      <protection locked="0"/>
    </xf>
    <xf numFmtId="0" fontId="10" fillId="0" borderId="3" xfId="9" applyFont="1" applyBorder="1" applyAlignment="1" applyProtection="1">
      <alignment horizontal="center" vertical="top"/>
      <protection locked="0"/>
    </xf>
    <xf numFmtId="0" fontId="10" fillId="0" borderId="31" xfId="9" applyFont="1" applyBorder="1" applyAlignment="1" applyProtection="1">
      <alignment horizontal="center" vertical="top"/>
      <protection locked="0"/>
    </xf>
    <xf numFmtId="0" fontId="13" fillId="0" borderId="9" xfId="9" applyFont="1" applyBorder="1" applyAlignment="1" applyProtection="1">
      <alignment horizontal="center" vertical="top"/>
      <protection locked="0"/>
    </xf>
    <xf numFmtId="0" fontId="13" fillId="0" borderId="10" xfId="9" applyFont="1" applyBorder="1" applyAlignment="1" applyProtection="1">
      <alignment horizontal="center" vertical="top"/>
      <protection locked="0"/>
    </xf>
    <xf numFmtId="0" fontId="9" fillId="0" borderId="3" xfId="9" applyFont="1" applyBorder="1" applyAlignment="1" applyProtection="1">
      <alignment horizontal="left" vertical="top" wrapText="1"/>
      <protection locked="0"/>
    </xf>
    <xf numFmtId="0" fontId="9" fillId="0" borderId="31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27" xfId="9" applyFont="1" applyBorder="1" applyAlignment="1" applyProtection="1">
      <alignment horizontal="left" vertical="top" wrapText="1"/>
      <protection locked="0"/>
    </xf>
    <xf numFmtId="0" fontId="9" fillId="0" borderId="29" xfId="9" applyFont="1" applyBorder="1" applyAlignment="1" applyProtection="1">
      <alignment horizontal="left" vertical="top" wrapText="1"/>
      <protection locked="0"/>
    </xf>
    <xf numFmtId="0" fontId="9" fillId="0" borderId="30" xfId="9" applyFont="1" applyBorder="1" applyAlignment="1" applyProtection="1">
      <alignment horizontal="left" vertical="top" wrapText="1"/>
      <protection locked="0"/>
    </xf>
    <xf numFmtId="0" fontId="9" fillId="21" borderId="27" xfId="9" applyFont="1" applyFill="1" applyBorder="1" applyAlignment="1" applyProtection="1">
      <alignment horizontal="center" vertical="top" wrapText="1"/>
      <protection locked="0"/>
    </xf>
    <xf numFmtId="0" fontId="9" fillId="21" borderId="30" xfId="9" applyFont="1" applyFill="1" applyBorder="1" applyAlignment="1" applyProtection="1">
      <alignment horizontal="center" vertical="top" wrapText="1"/>
      <protection locked="0"/>
    </xf>
    <xf numFmtId="0" fontId="9" fillId="21" borderId="23" xfId="9" applyFont="1" applyFill="1" applyBorder="1" applyAlignment="1" applyProtection="1">
      <alignment horizontal="center" vertical="top" wrapText="1"/>
      <protection locked="0"/>
    </xf>
    <xf numFmtId="0" fontId="9" fillId="21" borderId="26" xfId="9" applyFont="1" applyFill="1" applyBorder="1" applyAlignment="1" applyProtection="1">
      <alignment horizontal="center" vertical="top" wrapText="1"/>
      <protection locked="0"/>
    </xf>
    <xf numFmtId="0" fontId="13" fillId="22" borderId="6" xfId="9" applyFont="1" applyFill="1" applyBorder="1" applyAlignment="1" applyProtection="1">
      <alignment horizontal="left" vertical="top" wrapText="1"/>
      <protection locked="0"/>
    </xf>
    <xf numFmtId="0" fontId="23" fillId="21" borderId="5" xfId="9" applyFont="1" applyFill="1" applyBorder="1" applyAlignment="1" applyProtection="1">
      <alignment horizontal="center" vertical="top" wrapText="1"/>
      <protection locked="0"/>
    </xf>
    <xf numFmtId="0" fontId="23" fillId="21" borderId="7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left" vertical="top"/>
      <protection locked="0"/>
    </xf>
    <xf numFmtId="0" fontId="9" fillId="0" borderId="7" xfId="9" applyFont="1" applyBorder="1" applyAlignment="1" applyProtection="1">
      <alignment horizontal="left" vertical="top"/>
      <protection locked="0"/>
    </xf>
    <xf numFmtId="0" fontId="9" fillId="0" borderId="4" xfId="9" applyFont="1" applyBorder="1" applyAlignment="1" applyProtection="1">
      <alignment horizontal="left" vertical="top" wrapText="1"/>
      <protection locked="0"/>
    </xf>
    <xf numFmtId="0" fontId="13" fillId="22" borderId="1" xfId="9" applyFont="1" applyFill="1" applyBorder="1" applyAlignment="1" applyProtection="1">
      <alignment horizontal="center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0" fontId="7" fillId="0" borderId="2" xfId="9" applyFont="1" applyFill="1" applyBorder="1" applyAlignment="1" applyProtection="1">
      <alignment horizontal="center" vertical="center"/>
    </xf>
    <xf numFmtId="0" fontId="7" fillId="0" borderId="8" xfId="9" applyFont="1" applyFill="1" applyBorder="1" applyAlignment="1" applyProtection="1">
      <alignment horizontal="center" vertical="center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5" xfId="9" applyFont="1" applyBorder="1" applyAlignment="1" applyProtection="1">
      <alignment horizontal="left" vertical="center" wrapText="1"/>
      <protection locked="0"/>
    </xf>
    <xf numFmtId="0" fontId="9" fillId="0" borderId="7" xfId="9" applyFont="1" applyBorder="1" applyAlignment="1" applyProtection="1">
      <alignment horizontal="left" vertical="center" wrapText="1"/>
      <protection locked="0"/>
    </xf>
    <xf numFmtId="0" fontId="9" fillId="21" borderId="5" xfId="9" applyFont="1" applyFill="1" applyBorder="1" applyAlignment="1" applyProtection="1">
      <alignment horizontal="center" vertical="top" wrapText="1"/>
      <protection locked="0"/>
    </xf>
    <xf numFmtId="0" fontId="9" fillId="21" borderId="7" xfId="9" applyFont="1" applyFill="1" applyBorder="1" applyAlignment="1" applyProtection="1">
      <alignment horizontal="center" vertical="top" wrapText="1"/>
      <protection locked="0"/>
    </xf>
    <xf numFmtId="49" fontId="7" fillId="21" borderId="46" xfId="9" applyNumberFormat="1" applyFont="1" applyFill="1" applyBorder="1" applyAlignment="1" applyProtection="1">
      <alignment horizontal="center"/>
      <protection locked="0"/>
    </xf>
    <xf numFmtId="49" fontId="7" fillId="21" borderId="47" xfId="9" applyNumberFormat="1" applyFont="1" applyFill="1" applyBorder="1" applyAlignment="1" applyProtection="1">
      <alignment horizontal="center"/>
      <protection locked="0"/>
    </xf>
    <xf numFmtId="49" fontId="7" fillId="21" borderId="48" xfId="9" applyNumberFormat="1" applyFont="1" applyFill="1" applyBorder="1" applyAlignment="1" applyProtection="1">
      <alignment horizontal="center"/>
      <protection locked="0"/>
    </xf>
    <xf numFmtId="0" fontId="10" fillId="18" borderId="12" xfId="9" applyFont="1" applyFill="1" applyBorder="1" applyAlignment="1" applyProtection="1">
      <alignment horizontal="center" vertical="center" shrinkToFit="1"/>
      <protection locked="0"/>
    </xf>
    <xf numFmtId="0" fontId="10" fillId="18" borderId="0" xfId="9" applyFont="1" applyFill="1" applyBorder="1" applyAlignment="1" applyProtection="1">
      <alignment horizontal="center" vertical="center" shrinkToFit="1"/>
      <protection locked="0"/>
    </xf>
    <xf numFmtId="0" fontId="10" fillId="18" borderId="13" xfId="9" applyFont="1" applyFill="1" applyBorder="1" applyAlignment="1" applyProtection="1">
      <alignment horizontal="center" vertical="center" shrinkToFit="1"/>
      <protection locked="0"/>
    </xf>
    <xf numFmtId="0" fontId="10" fillId="18" borderId="12" xfId="9" applyFont="1" applyFill="1" applyBorder="1" applyAlignment="1" applyProtection="1">
      <alignment horizontal="center" vertical="center" wrapText="1" shrinkToFit="1"/>
      <protection locked="0"/>
    </xf>
    <xf numFmtId="0" fontId="10" fillId="18" borderId="13" xfId="9" applyFont="1" applyFill="1" applyBorder="1" applyAlignment="1" applyProtection="1">
      <alignment horizontal="center" vertical="center" wrapText="1" shrinkToFit="1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Alignment="1" applyProtection="1">
      <alignment horizontal="left" vertical="top" wrapText="1"/>
    </xf>
    <xf numFmtId="0" fontId="9" fillId="0" borderId="0" xfId="9" applyFont="1" applyAlignment="1" applyProtection="1">
      <alignment horizontal="left" vertical="top"/>
    </xf>
    <xf numFmtId="0" fontId="42" fillId="18" borderId="3" xfId="9" applyFont="1" applyFill="1" applyBorder="1" applyAlignment="1" applyProtection="1">
      <alignment horizontal="center" vertical="center" wrapText="1" shrinkToFit="1"/>
      <protection locked="0"/>
    </xf>
    <xf numFmtId="0" fontId="42" fillId="18" borderId="31" xfId="9" applyFont="1" applyFill="1" applyBorder="1" applyAlignment="1" applyProtection="1">
      <alignment horizontal="center" vertical="center" wrapText="1" shrinkToFit="1"/>
      <protection locked="0"/>
    </xf>
    <xf numFmtId="0" fontId="42" fillId="18" borderId="38" xfId="9" applyFont="1" applyFill="1" applyBorder="1" applyAlignment="1" applyProtection="1">
      <alignment horizontal="center" vertical="center" wrapText="1" shrinkToFit="1"/>
      <protection locked="0"/>
    </xf>
    <xf numFmtId="0" fontId="42" fillId="18" borderId="39" xfId="9" applyFont="1" applyFill="1" applyBorder="1" applyAlignment="1" applyProtection="1">
      <alignment horizontal="center" vertical="center" wrapText="1" shrinkToFit="1"/>
      <protection locked="0"/>
    </xf>
    <xf numFmtId="0" fontId="19" fillId="18" borderId="31" xfId="9" applyFont="1" applyFill="1" applyBorder="1" applyAlignment="1" applyProtection="1">
      <alignment horizontal="center" vertical="center" wrapText="1" shrinkToFit="1"/>
      <protection locked="0"/>
    </xf>
    <xf numFmtId="0" fontId="19" fillId="18" borderId="32" xfId="9" applyFont="1" applyFill="1" applyBorder="1" applyAlignment="1" applyProtection="1">
      <alignment horizontal="center" vertical="center" wrapText="1" shrinkToFit="1"/>
      <protection locked="0"/>
    </xf>
    <xf numFmtId="0" fontId="7" fillId="11" borderId="177" xfId="9" applyFont="1" applyFill="1" applyBorder="1" applyAlignment="1" applyProtection="1">
      <alignment horizontal="center"/>
      <protection locked="0"/>
    </xf>
    <xf numFmtId="0" fontId="7" fillId="11" borderId="178" xfId="9" applyFont="1" applyFill="1" applyBorder="1" applyAlignment="1" applyProtection="1">
      <alignment horizontal="center"/>
      <protection locked="0"/>
    </xf>
    <xf numFmtId="0" fontId="7" fillId="11" borderId="179" xfId="9" applyFont="1" applyFill="1" applyBorder="1" applyAlignment="1" applyProtection="1">
      <alignment horizontal="center"/>
      <protection locked="0"/>
    </xf>
    <xf numFmtId="0" fontId="13" fillId="2" borderId="5" xfId="9" applyFont="1" applyFill="1" applyBorder="1" applyAlignment="1" applyProtection="1">
      <alignment horizontal="left" vertical="center"/>
      <protection locked="0"/>
    </xf>
    <xf numFmtId="0" fontId="13" fillId="2" borderId="6" xfId="9" applyFont="1" applyFill="1" applyBorder="1" applyAlignment="1" applyProtection="1">
      <alignment horizontal="left" vertical="center"/>
      <protection locked="0"/>
    </xf>
    <xf numFmtId="0" fontId="13" fillId="2" borderId="7" xfId="9" applyFont="1" applyFill="1" applyBorder="1" applyAlignment="1" applyProtection="1">
      <alignment horizontal="left" vertical="center"/>
      <protection locked="0"/>
    </xf>
    <xf numFmtId="0" fontId="10" fillId="18" borderId="11" xfId="9" applyFont="1" applyFill="1" applyBorder="1" applyAlignment="1" applyProtection="1">
      <alignment horizontal="center" vertical="center" wrapText="1" shrinkToFit="1"/>
      <protection locked="0"/>
    </xf>
    <xf numFmtId="0" fontId="7" fillId="21" borderId="46" xfId="9" applyFont="1" applyFill="1" applyBorder="1" applyAlignment="1" applyProtection="1">
      <alignment horizontal="center"/>
      <protection locked="0"/>
    </xf>
    <xf numFmtId="0" fontId="7" fillId="21" borderId="47" xfId="9" applyFont="1" applyFill="1" applyBorder="1" applyAlignment="1" applyProtection="1">
      <alignment horizontal="center"/>
      <protection locked="0"/>
    </xf>
    <xf numFmtId="0" fontId="7" fillId="21" borderId="48" xfId="9" applyFont="1" applyFill="1" applyBorder="1" applyAlignment="1" applyProtection="1">
      <alignment horizontal="center"/>
      <protection locked="0"/>
    </xf>
    <xf numFmtId="0" fontId="7" fillId="11" borderId="177" xfId="9" applyFont="1" applyFill="1" applyBorder="1" applyAlignment="1" applyProtection="1">
      <alignment horizontal="center" vertical="top"/>
      <protection locked="0"/>
    </xf>
    <xf numFmtId="0" fontId="7" fillId="11" borderId="178" xfId="9" applyFont="1" applyFill="1" applyBorder="1" applyAlignment="1" applyProtection="1">
      <alignment horizontal="center" vertical="top"/>
      <protection locked="0"/>
    </xf>
    <xf numFmtId="0" fontId="7" fillId="11" borderId="179" xfId="9" applyFont="1" applyFill="1" applyBorder="1" applyAlignment="1" applyProtection="1">
      <alignment horizontal="center" vertical="top"/>
      <protection locked="0"/>
    </xf>
    <xf numFmtId="0" fontId="9" fillId="0" borderId="4" xfId="9" applyFont="1" applyBorder="1" applyAlignment="1" applyProtection="1">
      <alignment horizontal="left" vertical="top" wrapText="1"/>
    </xf>
    <xf numFmtId="0" fontId="9" fillId="0" borderId="31" xfId="9" applyFont="1" applyBorder="1" applyAlignment="1" applyProtection="1">
      <alignment horizontal="left" vertical="top" wrapText="1"/>
    </xf>
    <xf numFmtId="0" fontId="7" fillId="0" borderId="42" xfId="9" applyNumberFormat="1" applyFont="1" applyBorder="1" applyAlignment="1" applyProtection="1">
      <alignment horizontal="left" vertical="top" wrapText="1"/>
      <protection locked="0"/>
    </xf>
    <xf numFmtId="0" fontId="7" fillId="0" borderId="6" xfId="9" applyNumberFormat="1" applyFont="1" applyBorder="1" applyAlignment="1" applyProtection="1">
      <alignment horizontal="left" vertical="top" wrapText="1"/>
      <protection locked="0"/>
    </xf>
    <xf numFmtId="0" fontId="7" fillId="0" borderId="7" xfId="9" applyNumberFormat="1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center"/>
    </xf>
    <xf numFmtId="0" fontId="9" fillId="0" borderId="30" xfId="9" applyFont="1" applyBorder="1" applyAlignment="1" applyProtection="1">
      <alignment horizontal="center"/>
    </xf>
    <xf numFmtId="0" fontId="9" fillId="0" borderId="23" xfId="9" applyFont="1" applyBorder="1" applyAlignment="1" applyProtection="1">
      <alignment horizontal="center"/>
    </xf>
    <xf numFmtId="0" fontId="9" fillId="0" borderId="26" xfId="9" applyFont="1" applyBorder="1" applyAlignment="1" applyProtection="1">
      <alignment horizontal="center"/>
    </xf>
    <xf numFmtId="0" fontId="9" fillId="0" borderId="9" xfId="9" applyFont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center"/>
      <protection locked="0"/>
    </xf>
    <xf numFmtId="0" fontId="9" fillId="0" borderId="10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6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5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19" xfId="9" applyFont="1" applyBorder="1" applyAlignment="1" applyProtection="1">
      <alignment horizontal="center"/>
    </xf>
    <xf numFmtId="0" fontId="9" fillId="0" borderId="21" xfId="9" applyFont="1" applyBorder="1" applyAlignment="1" applyProtection="1">
      <alignment horizontal="center"/>
    </xf>
    <xf numFmtId="0" fontId="9" fillId="0" borderId="3" xfId="9" applyFont="1" applyBorder="1" applyAlignment="1" applyProtection="1">
      <alignment horizontal="center"/>
      <protection locked="0"/>
    </xf>
    <xf numFmtId="0" fontId="9" fillId="0" borderId="4" xfId="9" applyFont="1" applyBorder="1" applyAlignment="1" applyProtection="1">
      <alignment horizontal="center"/>
      <protection locked="0"/>
    </xf>
    <xf numFmtId="0" fontId="9" fillId="0" borderId="31" xfId="9" applyFont="1" applyBorder="1" applyAlignment="1" applyProtection="1">
      <alignment horizontal="center"/>
      <protection locked="0"/>
    </xf>
    <xf numFmtId="0" fontId="9" fillId="21" borderId="27" xfId="9" applyFont="1" applyFill="1" applyBorder="1" applyAlignment="1" applyProtection="1">
      <alignment horizontal="center"/>
      <protection locked="0"/>
    </xf>
    <xf numFmtId="0" fontId="9" fillId="21" borderId="29" xfId="9" applyFont="1" applyFill="1" applyBorder="1" applyAlignment="1" applyProtection="1">
      <alignment horizontal="center"/>
      <protection locked="0"/>
    </xf>
    <xf numFmtId="0" fontId="9" fillId="21" borderId="30" xfId="9" applyFont="1" applyFill="1" applyBorder="1" applyAlignment="1" applyProtection="1">
      <alignment horizontal="center"/>
      <protection locked="0"/>
    </xf>
    <xf numFmtId="0" fontId="9" fillId="21" borderId="23" xfId="9" applyFont="1" applyFill="1" applyBorder="1" applyAlignment="1" applyProtection="1">
      <alignment horizontal="center"/>
      <protection locked="0"/>
    </xf>
    <xf numFmtId="0" fontId="9" fillId="21" borderId="25" xfId="9" applyFont="1" applyFill="1" applyBorder="1" applyAlignment="1" applyProtection="1">
      <alignment horizontal="center"/>
      <protection locked="0"/>
    </xf>
    <xf numFmtId="0" fontId="9" fillId="21" borderId="26" xfId="9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/>
      <protection locked="0"/>
    </xf>
    <xf numFmtId="0" fontId="9" fillId="21" borderId="16" xfId="9" applyFont="1" applyFill="1" applyBorder="1" applyAlignment="1" applyProtection="1">
      <alignment horizontal="center"/>
      <protection locked="0"/>
    </xf>
    <xf numFmtId="0" fontId="9" fillId="21" borderId="17" xfId="9" applyFont="1" applyFill="1" applyBorder="1" applyAlignment="1" applyProtection="1">
      <alignment horizontal="center"/>
      <protection locked="0"/>
    </xf>
    <xf numFmtId="0" fontId="9" fillId="0" borderId="5" xfId="9" applyFont="1" applyBorder="1" applyAlignment="1" applyProtection="1">
      <alignment horizontal="center"/>
      <protection locked="0"/>
    </xf>
    <xf numFmtId="0" fontId="9" fillId="0" borderId="7" xfId="9" applyFont="1" applyBorder="1" applyAlignment="1" applyProtection="1">
      <alignment horizontal="center"/>
      <protection locked="0"/>
    </xf>
    <xf numFmtId="0" fontId="9" fillId="0" borderId="6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7" fillId="21" borderId="5" xfId="9" applyFont="1" applyFill="1" applyBorder="1" applyAlignment="1" applyProtection="1">
      <alignment horizontal="center" vertical="center"/>
      <protection locked="0"/>
    </xf>
    <xf numFmtId="0" fontId="7" fillId="21" borderId="7" xfId="9" applyFont="1" applyFill="1" applyBorder="1" applyAlignment="1" applyProtection="1">
      <alignment horizontal="center" vertical="center"/>
      <protection locked="0"/>
    </xf>
    <xf numFmtId="0" fontId="13" fillId="2" borderId="5" xfId="9" applyFont="1" applyFill="1" applyBorder="1" applyAlignment="1" applyProtection="1">
      <alignment horizontal="left"/>
      <protection locked="0"/>
    </xf>
    <xf numFmtId="0" fontId="13" fillId="2" borderId="6" xfId="9" applyFont="1" applyFill="1" applyBorder="1" applyAlignment="1" applyProtection="1">
      <alignment horizontal="left"/>
      <protection locked="0"/>
    </xf>
    <xf numFmtId="0" fontId="13" fillId="2" borderId="7" xfId="9" applyFont="1" applyFill="1" applyBorder="1" applyAlignment="1" applyProtection="1">
      <alignment horizontal="left"/>
      <protection locked="0"/>
    </xf>
    <xf numFmtId="0" fontId="7" fillId="0" borderId="6" xfId="9" applyFont="1" applyFill="1" applyBorder="1" applyAlignment="1" applyProtection="1">
      <alignment horizontal="left" vertical="top" wrapText="1"/>
      <protection locked="0"/>
    </xf>
    <xf numFmtId="0" fontId="7" fillId="0" borderId="7" xfId="9" applyFont="1" applyFill="1" applyBorder="1" applyAlignment="1" applyProtection="1">
      <alignment horizontal="left" vertical="top" wrapText="1"/>
      <protection locked="0"/>
    </xf>
    <xf numFmtId="0" fontId="12" fillId="0" borderId="6" xfId="9" applyFont="1" applyFill="1" applyBorder="1" applyAlignment="1" applyProtection="1">
      <alignment horizontal="left" vertical="top" wrapText="1"/>
      <protection locked="0"/>
    </xf>
    <xf numFmtId="0" fontId="12" fillId="0" borderId="7" xfId="9" applyFont="1" applyFill="1" applyBorder="1" applyAlignment="1" applyProtection="1">
      <alignment horizontal="left" vertical="top" wrapText="1"/>
      <protection locked="0"/>
    </xf>
    <xf numFmtId="0" fontId="22" fillId="21" borderId="5" xfId="9" applyFont="1" applyFill="1" applyBorder="1" applyAlignment="1" applyProtection="1">
      <alignment horizontal="left" vertical="top"/>
      <protection locked="0"/>
    </xf>
    <xf numFmtId="0" fontId="22" fillId="21" borderId="6" xfId="9" applyFont="1" applyFill="1" applyBorder="1" applyAlignment="1" applyProtection="1">
      <alignment horizontal="left" vertical="top"/>
      <protection locked="0"/>
    </xf>
    <xf numFmtId="0" fontId="22" fillId="21" borderId="7" xfId="9" applyFont="1" applyFill="1" applyBorder="1" applyAlignment="1" applyProtection="1">
      <alignment horizontal="left" vertical="top"/>
      <protection locked="0"/>
    </xf>
    <xf numFmtId="0" fontId="7" fillId="0" borderId="3" xfId="9" applyFont="1" applyBorder="1" applyAlignment="1" applyProtection="1">
      <alignment horizontal="left"/>
      <protection locked="0"/>
    </xf>
    <xf numFmtId="0" fontId="7" fillId="0" borderId="4" xfId="9" applyFont="1" applyBorder="1" applyAlignment="1" applyProtection="1">
      <alignment horizontal="left"/>
      <protection locked="0"/>
    </xf>
    <xf numFmtId="0" fontId="7" fillId="0" borderId="31" xfId="9" applyFont="1" applyBorder="1" applyAlignment="1" applyProtection="1">
      <alignment horizontal="left"/>
      <protection locked="0"/>
    </xf>
    <xf numFmtId="0" fontId="9" fillId="0" borderId="9" xfId="9" applyFont="1" applyBorder="1" applyAlignment="1" applyProtection="1">
      <alignment horizontal="left"/>
      <protection locked="0"/>
    </xf>
    <xf numFmtId="0" fontId="9" fillId="0" borderId="1" xfId="9" applyFont="1" applyBorder="1" applyAlignment="1" applyProtection="1">
      <alignment horizontal="left"/>
      <protection locked="0"/>
    </xf>
    <xf numFmtId="0" fontId="9" fillId="0" borderId="10" xfId="9" applyFont="1" applyBorder="1" applyAlignment="1" applyProtection="1">
      <alignment horizontal="left"/>
      <protection locked="0"/>
    </xf>
    <xf numFmtId="0" fontId="7" fillId="0" borderId="9" xfId="9" applyFont="1" applyBorder="1" applyAlignment="1" applyProtection="1">
      <alignment horizontal="left"/>
      <protection locked="0"/>
    </xf>
    <xf numFmtId="0" fontId="7" fillId="0" borderId="1" xfId="9" applyFont="1" applyBorder="1" applyAlignment="1" applyProtection="1">
      <alignment horizontal="left"/>
      <protection locked="0"/>
    </xf>
    <xf numFmtId="0" fontId="7" fillId="0" borderId="10" xfId="9" applyFont="1" applyBorder="1" applyAlignment="1" applyProtection="1">
      <alignment horizontal="left"/>
      <protection locked="0"/>
    </xf>
    <xf numFmtId="0" fontId="7" fillId="21" borderId="5" xfId="9" applyFont="1" applyFill="1" applyBorder="1" applyAlignment="1" applyProtection="1">
      <alignment horizontal="center" vertical="top" wrapText="1"/>
      <protection locked="0"/>
    </xf>
    <xf numFmtId="0" fontId="7" fillId="21" borderId="7" xfId="9" applyFont="1" applyFill="1" applyBorder="1" applyAlignment="1" applyProtection="1">
      <alignment horizontal="center" vertical="top" wrapText="1"/>
      <protection locked="0"/>
    </xf>
    <xf numFmtId="0" fontId="7" fillId="0" borderId="2" xfId="9" applyFont="1" applyBorder="1" applyAlignment="1" applyProtection="1">
      <alignment horizontal="center" vertical="top"/>
      <protection locked="0"/>
    </xf>
    <xf numFmtId="0" fontId="7" fillId="0" borderId="8" xfId="9" applyFont="1" applyBorder="1" applyAlignment="1" applyProtection="1">
      <alignment horizontal="center" vertical="top"/>
      <protection locked="0"/>
    </xf>
    <xf numFmtId="0" fontId="13" fillId="22" borderId="11" xfId="9" applyFont="1" applyFill="1" applyBorder="1" applyAlignment="1" applyProtection="1">
      <alignment horizontal="center"/>
      <protection locked="0"/>
    </xf>
    <xf numFmtId="0" fontId="7" fillId="21" borderId="5" xfId="9" applyFont="1" applyFill="1" applyBorder="1" applyAlignment="1" applyProtection="1">
      <alignment horizontal="left" vertical="top" wrapText="1"/>
      <protection locked="0"/>
    </xf>
    <xf numFmtId="0" fontId="7" fillId="21" borderId="6" xfId="9" applyFont="1" applyFill="1" applyBorder="1" applyAlignment="1" applyProtection="1">
      <alignment horizontal="left" vertical="top"/>
      <protection locked="0"/>
    </xf>
    <xf numFmtId="0" fontId="7" fillId="21" borderId="7" xfId="9" applyFont="1" applyFill="1" applyBorder="1" applyAlignment="1" applyProtection="1">
      <alignment horizontal="left" vertical="top"/>
      <protection locked="0"/>
    </xf>
    <xf numFmtId="0" fontId="13" fillId="22" borderId="6" xfId="9" applyFont="1" applyFill="1" applyBorder="1" applyAlignment="1" applyProtection="1">
      <alignment horizontal="center" vertical="center"/>
      <protection locked="0"/>
    </xf>
    <xf numFmtId="0" fontId="13" fillId="22" borderId="7" xfId="9" applyFont="1" applyFill="1" applyBorder="1" applyAlignment="1" applyProtection="1">
      <alignment horizontal="center" vertical="center"/>
      <protection locked="0"/>
    </xf>
    <xf numFmtId="0" fontId="13" fillId="21" borderId="5" xfId="9" applyFont="1" applyFill="1" applyBorder="1" applyAlignment="1" applyProtection="1">
      <alignment horizontal="center" vertical="top" wrapText="1"/>
      <protection locked="0"/>
    </xf>
    <xf numFmtId="0" fontId="13" fillId="21" borderId="7" xfId="9" applyFont="1" applyFill="1" applyBorder="1" applyAlignment="1" applyProtection="1">
      <alignment horizontal="center" vertical="top" wrapText="1"/>
      <protection locked="0"/>
    </xf>
    <xf numFmtId="0" fontId="12" fillId="0" borderId="12" xfId="9" applyFont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12" fillId="0" borderId="13" xfId="9" applyFont="1" applyBorder="1" applyAlignment="1" applyProtection="1">
      <alignment vertical="top"/>
      <protection locked="0"/>
    </xf>
    <xf numFmtId="0" fontId="12" fillId="0" borderId="12" xfId="9" applyFont="1" applyBorder="1" applyAlignment="1" applyProtection="1">
      <alignment vertical="center" wrapText="1"/>
      <protection locked="0"/>
    </xf>
    <xf numFmtId="0" fontId="12" fillId="0" borderId="0" xfId="9" applyFont="1" applyBorder="1" applyAlignment="1" applyProtection="1">
      <alignment vertical="center" wrapText="1"/>
      <protection locked="0"/>
    </xf>
    <xf numFmtId="0" fontId="12" fillId="0" borderId="13" xfId="9" applyFont="1" applyBorder="1" applyAlignment="1" applyProtection="1">
      <alignment vertical="center" wrapText="1"/>
      <protection locked="0"/>
    </xf>
    <xf numFmtId="0" fontId="7" fillId="21" borderId="3" xfId="9" applyFont="1" applyFill="1" applyBorder="1" applyAlignment="1" applyProtection="1">
      <alignment horizontal="center" vertical="top"/>
      <protection locked="0"/>
    </xf>
    <xf numFmtId="0" fontId="7" fillId="21" borderId="31" xfId="9" applyFont="1" applyFill="1" applyBorder="1" applyAlignment="1" applyProtection="1">
      <alignment horizontal="center" vertical="top"/>
      <protection locked="0"/>
    </xf>
    <xf numFmtId="0" fontId="7" fillId="21" borderId="12" xfId="9" applyFont="1" applyFill="1" applyBorder="1" applyAlignment="1" applyProtection="1">
      <alignment horizontal="center" vertical="top"/>
      <protection locked="0"/>
    </xf>
    <xf numFmtId="0" fontId="7" fillId="21" borderId="13" xfId="9" applyFont="1" applyFill="1" applyBorder="1" applyAlignment="1" applyProtection="1">
      <alignment horizontal="center" vertical="top"/>
      <protection locked="0"/>
    </xf>
    <xf numFmtId="0" fontId="7" fillId="21" borderId="9" xfId="9" applyFont="1" applyFill="1" applyBorder="1" applyAlignment="1" applyProtection="1">
      <alignment horizontal="center" vertical="top"/>
      <protection locked="0"/>
    </xf>
    <xf numFmtId="0" fontId="7" fillId="21" borderId="10" xfId="9" applyFont="1" applyFill="1" applyBorder="1" applyAlignment="1" applyProtection="1">
      <alignment horizontal="center" vertical="top"/>
      <protection locked="0"/>
    </xf>
    <xf numFmtId="0" fontId="12" fillId="0" borderId="12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13" xfId="9" applyFont="1" applyBorder="1" applyAlignment="1" applyProtection="1">
      <alignment vertical="top" wrapText="1"/>
      <protection locked="0"/>
    </xf>
    <xf numFmtId="0" fontId="13" fillId="0" borderId="2" xfId="9" applyFont="1" applyFill="1" applyBorder="1" applyAlignment="1" applyProtection="1">
      <alignment horizontal="center" vertical="top" wrapText="1"/>
      <protection locked="0"/>
    </xf>
    <xf numFmtId="0" fontId="13" fillId="0" borderId="8" xfId="9" applyFont="1" applyFill="1" applyBorder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7" borderId="4" xfId="9" applyFont="1" applyFill="1" applyBorder="1" applyAlignment="1" applyProtection="1">
      <alignment horizontal="left" vertical="top" wrapText="1"/>
    </xf>
    <xf numFmtId="0" fontId="9" fillId="0" borderId="5" xfId="9" applyFont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center" vertical="top" wrapText="1"/>
      <protection locked="0"/>
    </xf>
    <xf numFmtId="0" fontId="9" fillId="0" borderId="7" xfId="9" applyFont="1" applyBorder="1" applyAlignment="1" applyProtection="1">
      <alignment horizontal="center" vertical="top" wrapText="1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6" borderId="4" xfId="9" applyFont="1" applyFill="1" applyBorder="1" applyAlignment="1" applyProtection="1">
      <alignment horizontal="left" vertical="top" wrapText="1"/>
    </xf>
    <xf numFmtId="0" fontId="9" fillId="0" borderId="5" xfId="9" applyFont="1" applyFill="1" applyBorder="1" applyAlignment="1" applyProtection="1">
      <alignment horizontal="left" vertical="top" wrapText="1"/>
      <protection locked="0"/>
    </xf>
    <xf numFmtId="0" fontId="9" fillId="0" borderId="7" xfId="9" applyFont="1" applyFill="1" applyBorder="1" applyAlignment="1" applyProtection="1">
      <alignment horizontal="left" vertical="top" wrapText="1"/>
      <protection locked="0"/>
    </xf>
    <xf numFmtId="0" fontId="9" fillId="0" borderId="6" xfId="9" applyFont="1" applyFill="1" applyBorder="1" applyAlignment="1" applyProtection="1">
      <alignment horizontal="left" vertical="top" wrapText="1"/>
      <protection locked="0"/>
    </xf>
    <xf numFmtId="0" fontId="12" fillId="0" borderId="5" xfId="9" applyFont="1" applyBorder="1" applyAlignment="1" applyProtection="1">
      <alignment horizontal="left" vertical="top" wrapText="1"/>
      <protection locked="0"/>
    </xf>
    <xf numFmtId="0" fontId="12" fillId="0" borderId="6" xfId="9" applyFont="1" applyBorder="1" applyAlignment="1" applyProtection="1">
      <alignment horizontal="left" vertical="top" wrapText="1"/>
      <protection locked="0"/>
    </xf>
    <xf numFmtId="0" fontId="12" fillId="0" borderId="7" xfId="9" applyFont="1" applyBorder="1" applyAlignment="1" applyProtection="1">
      <alignment horizontal="left" vertical="top" wrapText="1"/>
      <protection locked="0"/>
    </xf>
    <xf numFmtId="0" fontId="12" fillId="21" borderId="5" xfId="9" applyFont="1" applyFill="1" applyBorder="1" applyAlignment="1" applyProtection="1">
      <alignment horizontal="center" vertical="top" wrapText="1"/>
      <protection locked="0"/>
    </xf>
    <xf numFmtId="0" fontId="12" fillId="21" borderId="7" xfId="9" applyFont="1" applyFill="1" applyBorder="1" applyAlignment="1" applyProtection="1">
      <alignment horizontal="center" vertical="top" wrapText="1"/>
      <protection locked="0"/>
    </xf>
    <xf numFmtId="0" fontId="9" fillId="0" borderId="3" xfId="9" applyFont="1" applyBorder="1" applyAlignment="1" applyProtection="1">
      <alignment horizontal="center" vertical="top" wrapText="1"/>
      <protection locked="0"/>
    </xf>
    <xf numFmtId="0" fontId="9" fillId="0" borderId="4" xfId="9" applyFont="1" applyBorder="1" applyAlignment="1" applyProtection="1">
      <alignment horizontal="center" vertical="top" wrapText="1"/>
      <protection locked="0"/>
    </xf>
    <xf numFmtId="0" fontId="9" fillId="0" borderId="31" xfId="9" applyFont="1" applyBorder="1" applyAlignment="1" applyProtection="1">
      <alignment horizontal="center" vertical="top" wrapText="1"/>
      <protection locked="0"/>
    </xf>
    <xf numFmtId="49" fontId="7" fillId="0" borderId="6" xfId="9" applyNumberFormat="1" applyFont="1" applyFill="1" applyBorder="1" applyAlignment="1" applyProtection="1">
      <alignment horizontal="left" vertical="top" wrapText="1"/>
      <protection locked="0"/>
    </xf>
    <xf numFmtId="49" fontId="7" fillId="0" borderId="7" xfId="9" applyNumberFormat="1" applyFont="1" applyFill="1" applyBorder="1" applyAlignment="1" applyProtection="1">
      <alignment horizontal="left" vertical="top" wrapText="1"/>
      <protection locked="0"/>
    </xf>
    <xf numFmtId="0" fontId="21" fillId="6" borderId="0" xfId="9" applyFont="1" applyFill="1" applyBorder="1" applyAlignment="1" applyProtection="1">
      <alignment horizontal="left" vertical="top" wrapText="1"/>
    </xf>
    <xf numFmtId="0" fontId="16" fillId="6" borderId="5" xfId="9" applyFont="1" applyFill="1" applyBorder="1" applyAlignment="1" applyProtection="1">
      <alignment horizontal="center"/>
    </xf>
    <xf numFmtId="0" fontId="16" fillId="6" borderId="6" xfId="9" applyFont="1" applyFill="1" applyBorder="1" applyAlignment="1" applyProtection="1">
      <alignment horizontal="center"/>
    </xf>
    <xf numFmtId="0" fontId="16" fillId="6" borderId="7" xfId="9" applyFont="1" applyFill="1" applyBorder="1" applyAlignment="1" applyProtection="1">
      <alignment horizontal="center"/>
    </xf>
    <xf numFmtId="0" fontId="9" fillId="0" borderId="5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Fill="1" applyBorder="1" applyAlignment="1" applyProtection="1">
      <alignment horizontal="center" vertical="top" wrapText="1"/>
      <protection locked="0"/>
    </xf>
    <xf numFmtId="0" fontId="9" fillId="0" borderId="7" xfId="9" applyFont="1" applyFill="1" applyBorder="1" applyAlignment="1" applyProtection="1">
      <alignment horizontal="center" vertical="top" wrapText="1"/>
      <protection locked="0"/>
    </xf>
    <xf numFmtId="0" fontId="13" fillId="22" borderId="6" xfId="9" applyFont="1" applyFill="1" applyBorder="1" applyAlignment="1" applyProtection="1">
      <alignment horizontal="center"/>
      <protection locked="0"/>
    </xf>
    <xf numFmtId="49" fontId="7" fillId="0" borderId="0" xfId="9" applyNumberFormat="1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 vertical="top" wrapText="1"/>
      <protection locked="0"/>
    </xf>
    <xf numFmtId="0" fontId="9" fillId="21" borderId="17" xfId="9" applyFont="1" applyFill="1" applyBorder="1" applyAlignment="1" applyProtection="1">
      <alignment horizontal="center" vertical="top" wrapText="1"/>
      <protection locked="0"/>
    </xf>
    <xf numFmtId="0" fontId="12" fillId="0" borderId="3" xfId="9" applyFont="1" applyBorder="1" applyAlignment="1" applyProtection="1">
      <alignment vertical="top" wrapText="1"/>
      <protection locked="0"/>
    </xf>
    <xf numFmtId="0" fontId="12" fillId="0" borderId="4" xfId="9" applyFont="1" applyBorder="1" applyAlignment="1" applyProtection="1">
      <alignment vertical="top" wrapText="1"/>
      <protection locked="0"/>
    </xf>
    <xf numFmtId="0" fontId="12" fillId="0" borderId="31" xfId="9" applyFont="1" applyBorder="1" applyAlignment="1" applyProtection="1">
      <alignment vertical="top" wrapText="1"/>
      <protection locked="0"/>
    </xf>
    <xf numFmtId="0" fontId="9" fillId="0" borderId="19" xfId="9" applyFont="1" applyBorder="1" applyAlignment="1" applyProtection="1">
      <alignment horizontal="left" vertical="top" wrapText="1"/>
      <protection locked="0"/>
    </xf>
    <xf numFmtId="0" fontId="9" fillId="0" borderId="20" xfId="9" applyFont="1" applyBorder="1" applyAlignment="1" applyProtection="1">
      <alignment horizontal="left" vertical="top" wrapText="1"/>
      <protection locked="0"/>
    </xf>
    <xf numFmtId="0" fontId="9" fillId="0" borderId="21" xfId="9" applyFont="1" applyBorder="1" applyAlignment="1" applyProtection="1">
      <alignment horizontal="left" vertical="top" wrapText="1"/>
      <protection locked="0"/>
    </xf>
    <xf numFmtId="49" fontId="7" fillId="0" borderId="7" xfId="9" applyNumberFormat="1" applyFont="1" applyBorder="1" applyAlignment="1" applyProtection="1">
      <alignment horizontal="left" vertical="top" wrapText="1"/>
      <protection locked="0"/>
    </xf>
    <xf numFmtId="49" fontId="7" fillId="0" borderId="11" xfId="9" applyNumberFormat="1" applyFont="1" applyBorder="1" applyAlignment="1" applyProtection="1">
      <alignment horizontal="left" vertical="top" wrapText="1"/>
      <protection locked="0"/>
    </xf>
    <xf numFmtId="0" fontId="7" fillId="0" borderId="11" xfId="9" applyFont="1" applyBorder="1" applyAlignment="1" applyProtection="1">
      <alignment horizontal="left" vertical="top" wrapText="1"/>
      <protection locked="0"/>
    </xf>
    <xf numFmtId="0" fontId="7" fillId="21" borderId="5" xfId="9" applyFont="1" applyFill="1" applyBorder="1" applyAlignment="1" applyProtection="1">
      <alignment horizontal="center" vertical="top"/>
      <protection locked="0"/>
    </xf>
    <xf numFmtId="0" fontId="7" fillId="21" borderId="7" xfId="9" applyFont="1" applyFill="1" applyBorder="1" applyAlignment="1" applyProtection="1">
      <alignment horizontal="center" vertical="top"/>
      <protection locked="0"/>
    </xf>
    <xf numFmtId="0" fontId="13" fillId="22" borderId="6" xfId="9" applyFont="1" applyFill="1" applyBorder="1" applyAlignment="1" applyProtection="1">
      <alignment horizontal="left" vertical="top"/>
      <protection locked="0"/>
    </xf>
    <xf numFmtId="0" fontId="13" fillId="0" borderId="3" xfId="9" applyFont="1" applyFill="1" applyBorder="1" applyAlignment="1" applyProtection="1">
      <alignment horizontal="center" vertical="top" wrapText="1"/>
      <protection locked="0"/>
    </xf>
    <xf numFmtId="0" fontId="13" fillId="0" borderId="31" xfId="9" applyFont="1" applyFill="1" applyBorder="1" applyAlignment="1" applyProtection="1">
      <alignment horizontal="center" vertical="top" wrapText="1"/>
      <protection locked="0"/>
    </xf>
    <xf numFmtId="0" fontId="13" fillId="0" borderId="9" xfId="9" applyFont="1" applyFill="1" applyBorder="1" applyAlignment="1" applyProtection="1">
      <alignment horizontal="center" vertical="top" wrapText="1"/>
      <protection locked="0"/>
    </xf>
    <xf numFmtId="0" fontId="13" fillId="0" borderId="10" xfId="9" applyFont="1" applyFill="1" applyBorder="1" applyAlignment="1" applyProtection="1">
      <alignment horizontal="center" vertical="top" wrapText="1"/>
      <protection locked="0"/>
    </xf>
    <xf numFmtId="0" fontId="16" fillId="6" borderId="5" xfId="1" applyFont="1" applyFill="1" applyBorder="1" applyAlignment="1" applyProtection="1">
      <alignment horizontal="center"/>
    </xf>
    <xf numFmtId="0" fontId="16" fillId="6" borderId="6" xfId="1" applyFont="1" applyFill="1" applyBorder="1" applyAlignment="1" applyProtection="1">
      <alignment horizontal="center"/>
    </xf>
    <xf numFmtId="0" fontId="16" fillId="6" borderId="7" xfId="1" applyFont="1" applyFill="1" applyBorder="1" applyAlignment="1" applyProtection="1">
      <alignment horizontal="center"/>
    </xf>
    <xf numFmtId="49" fontId="7" fillId="0" borderId="53" xfId="1" applyNumberFormat="1" applyFont="1" applyBorder="1" applyAlignment="1" applyProtection="1">
      <alignment horizontal="center"/>
    </xf>
    <xf numFmtId="0" fontId="7" fillId="0" borderId="53" xfId="1" applyNumberFormat="1" applyFont="1" applyBorder="1" applyAlignment="1" applyProtection="1">
      <alignment horizontal="center"/>
    </xf>
    <xf numFmtId="0" fontId="7" fillId="0" borderId="54" xfId="1" applyNumberFormat="1" applyFont="1" applyBorder="1" applyAlignment="1" applyProtection="1">
      <alignment horizontal="center"/>
    </xf>
    <xf numFmtId="0" fontId="10" fillId="18" borderId="11" xfId="1" applyFont="1" applyFill="1" applyBorder="1" applyAlignment="1" applyProtection="1">
      <alignment horizontal="center" vertical="top" shrinkToFit="1"/>
    </xf>
    <xf numFmtId="0" fontId="10" fillId="18" borderId="2" xfId="1" applyFont="1" applyFill="1" applyBorder="1" applyAlignment="1" applyProtection="1">
      <alignment horizontal="center" vertical="top" wrapText="1" shrinkToFit="1"/>
    </xf>
    <xf numFmtId="0" fontId="10" fillId="18" borderId="8" xfId="1" applyFont="1" applyFill="1" applyBorder="1" applyAlignment="1" applyProtection="1">
      <alignment horizontal="center" vertical="top" wrapText="1" shrinkToFit="1"/>
    </xf>
    <xf numFmtId="0" fontId="11" fillId="18" borderId="3" xfId="1" applyFont="1" applyFill="1" applyBorder="1" applyAlignment="1" applyProtection="1">
      <alignment horizontal="center" vertical="top" wrapText="1" shrinkToFit="1"/>
    </xf>
    <xf numFmtId="0" fontId="11" fillId="18" borderId="4" xfId="1" applyFont="1" applyFill="1" applyBorder="1" applyAlignment="1" applyProtection="1">
      <alignment horizontal="center" vertical="top" wrapText="1" shrinkToFit="1"/>
    </xf>
    <xf numFmtId="0" fontId="11" fillId="18" borderId="31" xfId="1" applyFont="1" applyFill="1" applyBorder="1" applyAlignment="1" applyProtection="1">
      <alignment horizontal="center" vertical="top" wrapText="1" shrinkToFit="1"/>
    </xf>
    <xf numFmtId="0" fontId="11" fillId="18" borderId="9" xfId="1" applyFont="1" applyFill="1" applyBorder="1" applyAlignment="1" applyProtection="1">
      <alignment horizontal="center" vertical="top" wrapText="1" shrinkToFit="1"/>
    </xf>
    <xf numFmtId="0" fontId="11" fillId="18" borderId="1" xfId="1" applyFont="1" applyFill="1" applyBorder="1" applyAlignment="1" applyProtection="1">
      <alignment horizontal="center" vertical="top" wrapText="1" shrinkToFit="1"/>
    </xf>
    <xf numFmtId="0" fontId="11" fillId="18" borderId="10" xfId="1" applyFont="1" applyFill="1" applyBorder="1" applyAlignment="1" applyProtection="1">
      <alignment horizontal="center" vertical="top" wrapText="1" shrinkToFit="1"/>
    </xf>
    <xf numFmtId="0" fontId="10" fillId="18" borderId="3" xfId="1" applyFont="1" applyFill="1" applyBorder="1" applyAlignment="1" applyProtection="1">
      <alignment horizontal="center" vertical="top" shrinkToFit="1"/>
    </xf>
    <xf numFmtId="0" fontId="10" fillId="18" borderId="31" xfId="1" applyFont="1" applyFill="1" applyBorder="1" applyAlignment="1" applyProtection="1">
      <alignment horizontal="center" vertical="top" shrinkToFit="1"/>
    </xf>
    <xf numFmtId="0" fontId="10" fillId="18" borderId="9" xfId="1" applyFont="1" applyFill="1" applyBorder="1" applyAlignment="1" applyProtection="1">
      <alignment horizontal="center" vertical="top" shrinkToFit="1"/>
    </xf>
    <xf numFmtId="0" fontId="10" fillId="18" borderId="10" xfId="1" applyFont="1" applyFill="1" applyBorder="1" applyAlignment="1" applyProtection="1">
      <alignment horizontal="center" vertical="top" shrinkToFit="1"/>
    </xf>
    <xf numFmtId="0" fontId="5" fillId="0" borderId="0" xfId="1" applyFont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54" xfId="1" applyFont="1" applyBorder="1" applyAlignment="1" applyProtection="1">
      <alignment horizontal="center"/>
    </xf>
    <xf numFmtId="0" fontId="9" fillId="0" borderId="4" xfId="1" applyNumberFormat="1" applyFont="1" applyBorder="1" applyAlignment="1" applyProtection="1">
      <alignment horizontal="left" vertical="top" wrapText="1"/>
    </xf>
    <xf numFmtId="0" fontId="9" fillId="0" borderId="31" xfId="1" applyNumberFormat="1" applyFont="1" applyBorder="1" applyAlignment="1" applyProtection="1">
      <alignment horizontal="left" vertical="top" wrapText="1"/>
    </xf>
    <xf numFmtId="0" fontId="13" fillId="21" borderId="3" xfId="1" applyFont="1" applyFill="1" applyBorder="1" applyAlignment="1" applyProtection="1">
      <alignment horizontal="left" vertical="top" wrapText="1"/>
      <protection locked="0"/>
    </xf>
    <xf numFmtId="0" fontId="13" fillId="21" borderId="4" xfId="1" applyFont="1" applyFill="1" applyBorder="1" applyAlignment="1" applyProtection="1">
      <alignment horizontal="left" vertical="top" wrapText="1"/>
      <protection locked="0"/>
    </xf>
    <xf numFmtId="0" fontId="13" fillId="21" borderId="31" xfId="1" applyFont="1" applyFill="1" applyBorder="1" applyAlignment="1" applyProtection="1">
      <alignment horizontal="left" vertical="top" wrapText="1"/>
      <protection locked="0"/>
    </xf>
    <xf numFmtId="0" fontId="7" fillId="21" borderId="3" xfId="1" applyFont="1" applyFill="1" applyBorder="1" applyAlignment="1" applyProtection="1">
      <alignment horizontal="left" vertical="top" wrapText="1"/>
      <protection locked="0"/>
    </xf>
    <xf numFmtId="0" fontId="7" fillId="21" borderId="31" xfId="1" applyFont="1" applyFill="1" applyBorder="1" applyAlignment="1" applyProtection="1">
      <alignment horizontal="left" vertical="top" wrapText="1"/>
      <protection locked="0"/>
    </xf>
    <xf numFmtId="0" fontId="13" fillId="2" borderId="5" xfId="1" applyFont="1" applyFill="1" applyBorder="1" applyAlignment="1" applyProtection="1">
      <alignment horizontal="left" vertical="center"/>
    </xf>
    <xf numFmtId="0" fontId="13" fillId="2" borderId="6" xfId="1" applyFont="1" applyFill="1" applyBorder="1" applyAlignment="1" applyProtection="1">
      <alignment horizontal="left" vertical="center"/>
    </xf>
    <xf numFmtId="0" fontId="13" fillId="2" borderId="7" xfId="1" applyFont="1" applyFill="1" applyBorder="1" applyAlignment="1" applyProtection="1">
      <alignment horizontal="left" vertical="center"/>
    </xf>
    <xf numFmtId="0" fontId="13" fillId="23" borderId="5" xfId="1" applyFont="1" applyFill="1" applyBorder="1" applyAlignment="1" applyProtection="1">
      <alignment horizontal="center" vertical="top" wrapText="1"/>
    </xf>
    <xf numFmtId="0" fontId="13" fillId="23" borderId="6" xfId="1" applyFont="1" applyFill="1" applyBorder="1" applyAlignment="1" applyProtection="1">
      <alignment horizontal="center" vertical="top" wrapText="1"/>
    </xf>
    <xf numFmtId="0" fontId="13" fillId="23" borderId="7" xfId="1" applyFont="1" applyFill="1" applyBorder="1" applyAlignment="1" applyProtection="1">
      <alignment horizontal="center" vertical="top" wrapText="1"/>
    </xf>
    <xf numFmtId="0" fontId="13" fillId="3" borderId="6" xfId="1" applyFont="1" applyFill="1" applyBorder="1" applyAlignment="1" applyProtection="1">
      <alignment horizontal="left" vertical="center"/>
    </xf>
    <xf numFmtId="0" fontId="13" fillId="3" borderId="7" xfId="1" applyFont="1" applyFill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4" fontId="44" fillId="0" borderId="5" xfId="1" applyNumberFormat="1" applyFont="1" applyBorder="1" applyAlignment="1" applyProtection="1">
      <alignment horizontal="center" vertical="center" wrapText="1" shrinkToFit="1"/>
    </xf>
    <xf numFmtId="0" fontId="44" fillId="0" borderId="6" xfId="1" applyFont="1" applyBorder="1" applyAlignment="1" applyProtection="1">
      <alignment horizontal="center" vertical="center" wrapText="1" shrinkToFit="1"/>
    </xf>
    <xf numFmtId="0" fontId="44" fillId="0" borderId="7" xfId="1" applyFont="1" applyBorder="1" applyAlignment="1" applyProtection="1">
      <alignment horizontal="center" vertical="center" wrapText="1" shrinkToFit="1"/>
    </xf>
    <xf numFmtId="0" fontId="12" fillId="21" borderId="5" xfId="1" applyFont="1" applyFill="1" applyBorder="1" applyAlignment="1" applyProtection="1">
      <alignment horizontal="left" vertical="top" wrapText="1" shrinkToFit="1"/>
      <protection locked="0"/>
    </xf>
    <xf numFmtId="0" fontId="12" fillId="21" borderId="7" xfId="1" applyFont="1" applyFill="1" applyBorder="1" applyAlignment="1" applyProtection="1">
      <alignment horizontal="left" vertical="top" wrapText="1" shrinkToFit="1"/>
      <protection locked="0"/>
    </xf>
    <xf numFmtId="2" fontId="7" fillId="22" borderId="6" xfId="1" applyNumberFormat="1" applyFont="1" applyFill="1" applyBorder="1" applyAlignment="1" applyProtection="1">
      <alignment horizontal="center"/>
    </xf>
    <xf numFmtId="0" fontId="7" fillId="22" borderId="6" xfId="1" applyFont="1" applyFill="1" applyBorder="1" applyAlignment="1" applyProtection="1">
      <alignment horizontal="center"/>
    </xf>
    <xf numFmtId="0" fontId="7" fillId="22" borderId="6" xfId="1" applyFont="1" applyFill="1" applyBorder="1" applyAlignment="1" applyProtection="1">
      <alignment horizontal="left"/>
    </xf>
    <xf numFmtId="49" fontId="9" fillId="0" borderId="11" xfId="1" applyNumberFormat="1" applyFont="1" applyBorder="1" applyAlignment="1" applyProtection="1">
      <alignment horizontal="right" vertical="top"/>
    </xf>
    <xf numFmtId="0" fontId="9" fillId="0" borderId="6" xfId="1" applyFont="1" applyBorder="1" applyAlignment="1" applyProtection="1">
      <alignment horizontal="left" vertical="top" wrapText="1"/>
    </xf>
    <xf numFmtId="0" fontId="9" fillId="0" borderId="7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21" borderId="5" xfId="1" applyFont="1" applyFill="1" applyBorder="1" applyAlignment="1" applyProtection="1">
      <alignment horizontal="left" vertical="top" wrapText="1"/>
      <protection locked="0"/>
    </xf>
    <xf numFmtId="0" fontId="7" fillId="21" borderId="7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right" vertical="top" wrapText="1"/>
    </xf>
    <xf numFmtId="0" fontId="13" fillId="0" borderId="6" xfId="1" applyFont="1" applyBorder="1" applyAlignment="1" applyProtection="1">
      <alignment horizontal="right" vertical="top" wrapText="1"/>
    </xf>
    <xf numFmtId="0" fontId="13" fillId="0" borderId="7" xfId="1" applyFont="1" applyBorder="1" applyAlignment="1" applyProtection="1">
      <alignment horizontal="right" vertical="top" wrapText="1"/>
    </xf>
    <xf numFmtId="0" fontId="13" fillId="3" borderId="6" xfId="1" applyFont="1" applyFill="1" applyBorder="1" applyAlignment="1" applyProtection="1">
      <alignment horizontal="left" vertical="center" shrinkToFit="1"/>
    </xf>
    <xf numFmtId="0" fontId="13" fillId="3" borderId="7" xfId="1" applyFont="1" applyFill="1" applyBorder="1" applyAlignment="1" applyProtection="1">
      <alignment horizontal="left" vertical="center" shrinkToFit="1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5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2" fontId="13" fillId="0" borderId="2" xfId="1" applyNumberFormat="1" applyFont="1" applyBorder="1" applyAlignment="1" applyProtection="1">
      <alignment horizontal="center" vertical="center"/>
    </xf>
    <xf numFmtId="2" fontId="13" fillId="0" borderId="8" xfId="1" applyNumberFormat="1" applyFont="1" applyBorder="1" applyAlignment="1" applyProtection="1">
      <alignment horizontal="center" vertical="center"/>
    </xf>
    <xf numFmtId="2" fontId="7" fillId="0" borderId="5" xfId="1" applyNumberFormat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0" fontId="7" fillId="0" borderId="29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49" fontId="7" fillId="21" borderId="6" xfId="1" applyNumberFormat="1" applyFont="1" applyFill="1" applyBorder="1" applyAlignment="1" applyProtection="1">
      <alignment horizontal="left" vertical="top" wrapText="1"/>
      <protection locked="0"/>
    </xf>
    <xf numFmtId="0" fontId="7" fillId="21" borderId="7" xfId="1" applyNumberFormat="1" applyFont="1" applyFill="1" applyBorder="1" applyAlignment="1" applyProtection="1">
      <alignment horizontal="left" vertical="top" wrapText="1"/>
      <protection locked="0"/>
    </xf>
    <xf numFmtId="1" fontId="7" fillId="21" borderId="5" xfId="1" applyNumberFormat="1" applyFont="1" applyFill="1" applyBorder="1" applyAlignment="1" applyProtection="1">
      <alignment horizontal="left" vertical="top" wrapText="1"/>
      <protection locked="0"/>
    </xf>
    <xf numFmtId="1" fontId="7" fillId="21" borderId="6" xfId="1" applyNumberFormat="1" applyFont="1" applyFill="1" applyBorder="1" applyAlignment="1" applyProtection="1">
      <alignment horizontal="left" vertical="top" wrapText="1"/>
      <protection locked="0"/>
    </xf>
    <xf numFmtId="1" fontId="7" fillId="21" borderId="7" xfId="1" applyNumberFormat="1" applyFont="1" applyFill="1" applyBorder="1" applyAlignment="1" applyProtection="1">
      <alignment horizontal="left" vertical="top" wrapText="1"/>
      <protection locked="0"/>
    </xf>
    <xf numFmtId="49" fontId="7" fillId="0" borderId="6" xfId="1" applyNumberFormat="1" applyFont="1" applyFill="1" applyBorder="1" applyAlignment="1" applyProtection="1">
      <alignment horizontal="left" vertical="top" wrapText="1"/>
      <protection locked="0"/>
    </xf>
    <xf numFmtId="49" fontId="7" fillId="0" borderId="7" xfId="1" applyNumberFormat="1" applyFont="1" applyFill="1" applyBorder="1" applyAlignment="1" applyProtection="1">
      <alignment horizontal="left" vertical="top" wrapText="1"/>
      <protection locked="0"/>
    </xf>
    <xf numFmtId="2" fontId="7" fillId="0" borderId="5" xfId="1" applyNumberFormat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10" fillId="18" borderId="11" xfId="1" applyFont="1" applyFill="1" applyBorder="1" applyAlignment="1" applyProtection="1">
      <alignment horizontal="center" vertical="top" shrinkToFit="1"/>
      <protection locked="0"/>
    </xf>
    <xf numFmtId="0" fontId="10" fillId="18" borderId="2" xfId="1" applyFont="1" applyFill="1" applyBorder="1" applyAlignment="1" applyProtection="1">
      <alignment horizontal="center" vertical="top" wrapText="1" shrinkToFit="1"/>
      <protection locked="0"/>
    </xf>
    <xf numFmtId="0" fontId="10" fillId="18" borderId="8" xfId="1" applyFont="1" applyFill="1" applyBorder="1" applyAlignment="1" applyProtection="1">
      <alignment horizontal="center" vertical="top" wrapText="1" shrinkToFit="1"/>
      <protection locked="0"/>
    </xf>
    <xf numFmtId="0" fontId="11" fillId="18" borderId="3" xfId="1" applyFont="1" applyFill="1" applyBorder="1" applyAlignment="1" applyProtection="1">
      <alignment horizontal="center" vertical="top" wrapText="1" shrinkToFit="1"/>
      <protection locked="0"/>
    </xf>
    <xf numFmtId="0" fontId="11" fillId="18" borderId="4" xfId="1" applyFont="1" applyFill="1" applyBorder="1" applyAlignment="1" applyProtection="1">
      <alignment horizontal="center" vertical="top" wrapText="1" shrinkToFit="1"/>
      <protection locked="0"/>
    </xf>
    <xf numFmtId="0" fontId="11" fillId="18" borderId="31" xfId="1" applyFont="1" applyFill="1" applyBorder="1" applyAlignment="1" applyProtection="1">
      <alignment horizontal="center" vertical="top" wrapText="1" shrinkToFit="1"/>
      <protection locked="0"/>
    </xf>
    <xf numFmtId="0" fontId="11" fillId="18" borderId="9" xfId="1" applyFont="1" applyFill="1" applyBorder="1" applyAlignment="1" applyProtection="1">
      <alignment horizontal="center" vertical="top" wrapText="1" shrinkToFit="1"/>
      <protection locked="0"/>
    </xf>
    <xf numFmtId="0" fontId="11" fillId="18" borderId="1" xfId="1" applyFont="1" applyFill="1" applyBorder="1" applyAlignment="1" applyProtection="1">
      <alignment horizontal="center" vertical="top" wrapText="1" shrinkToFit="1"/>
      <protection locked="0"/>
    </xf>
    <xf numFmtId="0" fontId="11" fillId="18" borderId="10" xfId="1" applyFont="1" applyFill="1" applyBorder="1" applyAlignment="1" applyProtection="1">
      <alignment horizontal="center" vertical="top" wrapText="1" shrinkToFit="1"/>
      <protection locked="0"/>
    </xf>
    <xf numFmtId="0" fontId="10" fillId="18" borderId="3" xfId="1" applyFont="1" applyFill="1" applyBorder="1" applyAlignment="1" applyProtection="1">
      <alignment horizontal="center" vertical="top" shrinkToFit="1"/>
      <protection locked="0"/>
    </xf>
    <xf numFmtId="0" fontId="10" fillId="18" borderId="31" xfId="1" applyFont="1" applyFill="1" applyBorder="1" applyAlignment="1" applyProtection="1">
      <alignment horizontal="center" vertical="top" shrinkToFit="1"/>
      <protection locked="0"/>
    </xf>
    <xf numFmtId="0" fontId="10" fillId="18" borderId="9" xfId="1" applyFont="1" applyFill="1" applyBorder="1" applyAlignment="1" applyProtection="1">
      <alignment horizontal="center" vertical="top" shrinkToFit="1"/>
      <protection locked="0"/>
    </xf>
    <xf numFmtId="0" fontId="10" fillId="18" borderId="10" xfId="1" applyFont="1" applyFill="1" applyBorder="1" applyAlignment="1" applyProtection="1">
      <alignment horizontal="center" vertical="top" shrinkToFit="1"/>
      <protection locked="0"/>
    </xf>
    <xf numFmtId="0" fontId="13" fillId="2" borderId="5" xfId="1" applyFont="1" applyFill="1" applyBorder="1" applyAlignment="1" applyProtection="1">
      <alignment horizontal="left"/>
      <protection locked="0"/>
    </xf>
    <xf numFmtId="0" fontId="13" fillId="2" borderId="6" xfId="1" applyFont="1" applyFill="1" applyBorder="1" applyAlignment="1" applyProtection="1">
      <alignment horizontal="left"/>
      <protection locked="0"/>
    </xf>
    <xf numFmtId="0" fontId="13" fillId="2" borderId="7" xfId="1" applyFont="1" applyFill="1" applyBorder="1" applyAlignment="1" applyProtection="1">
      <alignment horizontal="left"/>
      <protection locked="0"/>
    </xf>
    <xf numFmtId="0" fontId="10" fillId="0" borderId="3" xfId="1" applyFont="1" applyBorder="1" applyAlignment="1" applyProtection="1">
      <alignment horizontal="center" vertical="top" shrinkToFit="1"/>
      <protection locked="0"/>
    </xf>
    <xf numFmtId="0" fontId="10" fillId="0" borderId="4" xfId="1" applyFont="1" applyBorder="1" applyAlignment="1" applyProtection="1">
      <alignment horizontal="center" vertical="top" shrinkToFit="1"/>
      <protection locked="0"/>
    </xf>
    <xf numFmtId="0" fontId="10" fillId="0" borderId="31" xfId="1" applyFont="1" applyBorder="1" applyAlignment="1" applyProtection="1">
      <alignment horizontal="center" vertical="top" shrinkToFit="1"/>
      <protection locked="0"/>
    </xf>
    <xf numFmtId="0" fontId="10" fillId="0" borderId="9" xfId="1" applyFont="1" applyBorder="1" applyAlignment="1" applyProtection="1">
      <alignment horizontal="center" vertical="top" shrinkToFit="1"/>
      <protection locked="0"/>
    </xf>
    <xf numFmtId="0" fontId="10" fillId="0" borderId="1" xfId="1" applyFont="1" applyBorder="1" applyAlignment="1" applyProtection="1">
      <alignment horizontal="center" vertical="top" shrinkToFit="1"/>
      <protection locked="0"/>
    </xf>
    <xf numFmtId="0" fontId="10" fillId="0" borderId="10" xfId="1" applyFont="1" applyBorder="1" applyAlignment="1" applyProtection="1">
      <alignment horizontal="center" vertical="top" shrinkToFit="1"/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11" fillId="0" borderId="3" xfId="1" applyFont="1" applyBorder="1" applyAlignment="1" applyProtection="1">
      <alignment horizontal="center" vertical="top" wrapText="1" shrinkToFit="1"/>
      <protection locked="0"/>
    </xf>
    <xf numFmtId="0" fontId="11" fillId="0" borderId="4" xfId="1" applyFont="1" applyBorder="1" applyAlignment="1" applyProtection="1">
      <alignment horizontal="center" vertical="top" wrapText="1" shrinkToFit="1"/>
      <protection locked="0"/>
    </xf>
    <xf numFmtId="0" fontId="11" fillId="0" borderId="31" xfId="1" applyFont="1" applyBorder="1" applyAlignment="1" applyProtection="1">
      <alignment horizontal="center" vertical="top" wrapText="1" shrinkToFit="1"/>
      <protection locked="0"/>
    </xf>
    <xf numFmtId="0" fontId="11" fillId="0" borderId="9" xfId="1" applyFont="1" applyBorder="1" applyAlignment="1" applyProtection="1">
      <alignment horizontal="center" vertical="top" wrapText="1" shrinkToFit="1"/>
      <protection locked="0"/>
    </xf>
    <xf numFmtId="0" fontId="11" fillId="0" borderId="1" xfId="1" applyFont="1" applyBorder="1" applyAlignment="1" applyProtection="1">
      <alignment horizontal="center" vertical="top" wrapText="1" shrinkToFit="1"/>
      <protection locked="0"/>
    </xf>
    <xf numFmtId="0" fontId="11" fillId="0" borderId="10" xfId="1" applyFont="1" applyBorder="1" applyAlignment="1" applyProtection="1">
      <alignment horizontal="center" vertical="top" wrapText="1" shrinkToFit="1"/>
      <protection locked="0"/>
    </xf>
    <xf numFmtId="49" fontId="7" fillId="0" borderId="7" xfId="1" applyNumberFormat="1" applyFont="1" applyBorder="1" applyAlignment="1" applyProtection="1">
      <alignment horizontal="left" vertical="top" wrapText="1"/>
      <protection locked="0"/>
    </xf>
    <xf numFmtId="49" fontId="7" fillId="0" borderId="11" xfId="1" applyNumberFormat="1" applyFont="1" applyBorder="1" applyAlignment="1" applyProtection="1">
      <alignment horizontal="left" vertical="top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7" fillId="0" borderId="7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6" xfId="1" applyFont="1" applyBorder="1" applyAlignment="1" applyProtection="1">
      <alignment horizontal="left" vertical="center" shrinkToFit="1"/>
      <protection locked="0"/>
    </xf>
    <xf numFmtId="0" fontId="7" fillId="0" borderId="7" xfId="1" applyFont="1" applyBorder="1" applyAlignment="1" applyProtection="1">
      <alignment horizontal="left" vertical="center" shrinkToFit="1"/>
      <protection locked="0"/>
    </xf>
    <xf numFmtId="0" fontId="44" fillId="21" borderId="5" xfId="1" applyFont="1" applyFill="1" applyBorder="1" applyAlignment="1" applyProtection="1">
      <alignment horizontal="left" vertical="top" wrapText="1" shrinkToFit="1"/>
      <protection locked="0"/>
    </xf>
    <xf numFmtId="0" fontId="44" fillId="21" borderId="6" xfId="1" applyFont="1" applyFill="1" applyBorder="1" applyAlignment="1" applyProtection="1">
      <alignment horizontal="left" vertical="top" wrapText="1" shrinkToFit="1"/>
      <protection locked="0"/>
    </xf>
    <xf numFmtId="0" fontId="44" fillId="21" borderId="7" xfId="1" applyFont="1" applyFill="1" applyBorder="1" applyAlignment="1" applyProtection="1">
      <alignment horizontal="left" vertical="top" wrapText="1" shrinkToFi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21" borderId="6" xfId="1" applyFont="1" applyFill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7" fillId="0" borderId="13" xfId="1" applyFont="1" applyBorder="1" applyAlignment="1" applyProtection="1">
      <alignment horizontal="left"/>
      <protection locked="0"/>
    </xf>
    <xf numFmtId="0" fontId="7" fillId="21" borderId="12" xfId="1" applyFont="1" applyFill="1" applyBorder="1" applyAlignment="1" applyProtection="1">
      <alignment horizontal="left"/>
      <protection locked="0"/>
    </xf>
    <xf numFmtId="0" fontId="7" fillId="21" borderId="0" xfId="1" applyFont="1" applyFill="1" applyBorder="1" applyAlignment="1" applyProtection="1">
      <alignment horizontal="left"/>
      <protection locked="0"/>
    </xf>
    <xf numFmtId="0" fontId="7" fillId="21" borderId="13" xfId="1" applyFont="1" applyFill="1" applyBorder="1" applyAlignment="1" applyProtection="1">
      <alignment horizontal="left"/>
      <protection locked="0"/>
    </xf>
    <xf numFmtId="0" fontId="13" fillId="23" borderId="5" xfId="1" applyFont="1" applyFill="1" applyBorder="1" applyAlignment="1" applyProtection="1">
      <alignment horizontal="center" vertical="top" wrapText="1"/>
      <protection locked="0"/>
    </xf>
    <xf numFmtId="0" fontId="13" fillId="23" borderId="6" xfId="1" applyFont="1" applyFill="1" applyBorder="1" applyAlignment="1" applyProtection="1">
      <alignment horizontal="center" vertical="top" wrapText="1"/>
      <protection locked="0"/>
    </xf>
    <xf numFmtId="0" fontId="13" fillId="23" borderId="7" xfId="1" applyFont="1" applyFill="1" applyBorder="1" applyAlignment="1" applyProtection="1">
      <alignment horizontal="center" vertical="top" wrapText="1"/>
      <protection locked="0"/>
    </xf>
    <xf numFmtId="0" fontId="10" fillId="0" borderId="11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 applyProtection="1">
      <alignment horizontal="center" vertical="center" wrapText="1" shrinkToFit="1"/>
      <protection locked="0"/>
    </xf>
    <xf numFmtId="0" fontId="11" fillId="0" borderId="4" xfId="1" applyFont="1" applyBorder="1" applyAlignment="1" applyProtection="1">
      <alignment horizontal="center" vertical="center" wrapText="1" shrinkToFit="1"/>
      <protection locked="0"/>
    </xf>
    <xf numFmtId="0" fontId="11" fillId="0" borderId="31" xfId="1" applyFont="1" applyBorder="1" applyAlignment="1" applyProtection="1">
      <alignment horizontal="center" vertical="center" wrapText="1" shrinkToFit="1"/>
      <protection locked="0"/>
    </xf>
    <xf numFmtId="0" fontId="11" fillId="0" borderId="9" xfId="1" applyFont="1" applyBorder="1" applyAlignment="1" applyProtection="1">
      <alignment horizontal="center" vertical="center" wrapText="1" shrinkToFit="1"/>
      <protection locked="0"/>
    </xf>
    <xf numFmtId="0" fontId="11" fillId="0" borderId="1" xfId="1" applyFont="1" applyBorder="1" applyAlignment="1" applyProtection="1">
      <alignment horizontal="center" vertical="center" wrapText="1" shrinkToFit="1"/>
      <protection locked="0"/>
    </xf>
    <xf numFmtId="0" fontId="11" fillId="0" borderId="10" xfId="1" applyFont="1" applyBorder="1" applyAlignment="1" applyProtection="1">
      <alignment horizontal="center" vertical="center" wrapText="1" shrinkToFit="1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31" xfId="1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0" fillId="0" borderId="10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21" borderId="2" xfId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/>
      <protection locked="0"/>
    </xf>
    <xf numFmtId="2" fontId="13" fillId="0" borderId="2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0" fontId="7" fillId="21" borderId="5" xfId="1" applyFont="1" applyFill="1" applyBorder="1" applyAlignment="1" applyProtection="1">
      <alignment horizontal="left" vertical="top" wrapText="1" shrinkToFit="1"/>
      <protection locked="0"/>
    </xf>
    <xf numFmtId="0" fontId="7" fillId="21" borderId="7" xfId="1" applyFont="1" applyFill="1" applyBorder="1" applyAlignment="1" applyProtection="1">
      <alignment horizontal="left" vertical="top" wrapText="1" shrinkToFit="1"/>
      <protection locked="0"/>
    </xf>
    <xf numFmtId="0" fontId="13" fillId="21" borderId="19" xfId="1" applyNumberFormat="1" applyFont="1" applyFill="1" applyBorder="1" applyAlignment="1" applyProtection="1">
      <alignment horizontal="center"/>
      <protection locked="0"/>
    </xf>
    <xf numFmtId="0" fontId="13" fillId="21" borderId="21" xfId="1" applyNumberFormat="1" applyFont="1" applyFill="1" applyBorder="1" applyAlignment="1" applyProtection="1">
      <alignment horizontal="center"/>
      <protection locked="0"/>
    </xf>
    <xf numFmtId="0" fontId="7" fillId="0" borderId="19" xfId="1" applyFont="1" applyFill="1" applyBorder="1" applyAlignment="1" applyProtection="1">
      <alignment horizontal="left"/>
    </xf>
    <xf numFmtId="0" fontId="7" fillId="0" borderId="20" xfId="1" applyFont="1" applyFill="1" applyBorder="1" applyAlignment="1" applyProtection="1">
      <alignment horizontal="left"/>
    </xf>
    <xf numFmtId="0" fontId="7" fillId="0" borderId="21" xfId="1" applyFont="1" applyFill="1" applyBorder="1" applyAlignment="1" applyProtection="1">
      <alignment horizontal="left"/>
    </xf>
    <xf numFmtId="0" fontId="7" fillId="21" borderId="23" xfId="1" applyFont="1" applyFill="1" applyBorder="1" applyAlignment="1" applyProtection="1">
      <alignment horizontal="center"/>
      <protection locked="0"/>
    </xf>
    <xf numFmtId="0" fontId="7" fillId="21" borderId="26" xfId="1" applyFont="1" applyFill="1" applyBorder="1" applyAlignment="1" applyProtection="1">
      <alignment horizontal="center"/>
      <protection locked="0"/>
    </xf>
    <xf numFmtId="49" fontId="13" fillId="24" borderId="5" xfId="1" applyNumberFormat="1" applyFont="1" applyFill="1" applyBorder="1" applyAlignment="1" applyProtection="1">
      <alignment horizontal="center" vertical="center"/>
      <protection locked="0"/>
    </xf>
    <xf numFmtId="49" fontId="13" fillId="24" borderId="6" xfId="1" applyNumberFormat="1" applyFont="1" applyFill="1" applyBorder="1" applyAlignment="1" applyProtection="1">
      <alignment horizontal="center" vertical="center"/>
      <protection locked="0"/>
    </xf>
    <xf numFmtId="49" fontId="13" fillId="24" borderId="7" xfId="1" applyNumberFormat="1" applyFont="1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</xf>
    <xf numFmtId="0" fontId="13" fillId="0" borderId="5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/>
    </xf>
    <xf numFmtId="0" fontId="13" fillId="0" borderId="7" xfId="1" applyFont="1" applyBorder="1" applyAlignment="1" applyProtection="1">
      <alignment horizontal="center"/>
    </xf>
    <xf numFmtId="0" fontId="13" fillId="0" borderId="4" xfId="1" applyNumberFormat="1" applyFont="1" applyBorder="1" applyAlignment="1" applyProtection="1">
      <alignment horizontal="center" vertical="top" wrapText="1"/>
    </xf>
    <xf numFmtId="0" fontId="13" fillId="0" borderId="31" xfId="1" applyNumberFormat="1" applyFont="1" applyBorder="1" applyAlignment="1" applyProtection="1">
      <alignment horizontal="center" vertical="top" wrapText="1"/>
    </xf>
    <xf numFmtId="0" fontId="13" fillId="0" borderId="1" xfId="1" applyNumberFormat="1" applyFont="1" applyBorder="1" applyAlignment="1" applyProtection="1">
      <alignment horizontal="center" vertical="top" wrapText="1"/>
    </xf>
    <xf numFmtId="0" fontId="13" fillId="0" borderId="10" xfId="1" applyNumberFormat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top" wrapText="1"/>
    </xf>
    <xf numFmtId="0" fontId="45" fillId="0" borderId="10" xfId="1" applyFont="1" applyBorder="1" applyAlignment="1" applyProtection="1">
      <alignment vertical="top" wrapText="1"/>
    </xf>
    <xf numFmtId="0" fontId="7" fillId="0" borderId="10" xfId="1" applyFont="1" applyBorder="1" applyAlignment="1" applyProtection="1">
      <alignment horizontal="center" vertical="top" wrapText="1"/>
    </xf>
    <xf numFmtId="0" fontId="16" fillId="0" borderId="2" xfId="1" applyFont="1" applyBorder="1" applyAlignment="1" applyProtection="1">
      <alignment horizontal="left"/>
    </xf>
    <xf numFmtId="0" fontId="7" fillId="0" borderId="19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1" xfId="1" applyFont="1" applyFill="1" applyBorder="1" applyAlignment="1" applyProtection="1">
      <alignment horizontal="center"/>
      <protection locked="0"/>
    </xf>
    <xf numFmtId="0" fontId="7" fillId="0" borderId="27" xfId="1" applyFont="1" applyFill="1" applyBorder="1" applyAlignment="1" applyProtection="1">
      <alignment horizontal="left"/>
    </xf>
    <xf numFmtId="0" fontId="7" fillId="0" borderId="29" xfId="1" applyFont="1" applyFill="1" applyBorder="1" applyAlignment="1" applyProtection="1">
      <alignment horizontal="left"/>
    </xf>
    <xf numFmtId="0" fontId="7" fillId="0" borderId="30" xfId="1" applyFont="1" applyFill="1" applyBorder="1" applyAlignment="1" applyProtection="1">
      <alignment horizontal="left"/>
    </xf>
    <xf numFmtId="0" fontId="7" fillId="21" borderId="27" xfId="1" applyFont="1" applyFill="1" applyBorder="1" applyAlignment="1" applyProtection="1">
      <alignment horizontal="center"/>
      <protection locked="0"/>
    </xf>
    <xf numFmtId="0" fontId="7" fillId="21" borderId="30" xfId="1" applyFont="1" applyFill="1" applyBorder="1" applyAlignment="1" applyProtection="1">
      <alignment horizontal="center"/>
      <protection locked="0"/>
    </xf>
    <xf numFmtId="0" fontId="16" fillId="0" borderId="3" xfId="1" applyFont="1" applyFill="1" applyBorder="1" applyAlignment="1" applyProtection="1">
      <alignment horizontal="left"/>
    </xf>
    <xf numFmtId="0" fontId="16" fillId="0" borderId="4" xfId="1" applyFont="1" applyFill="1" applyBorder="1" applyAlignment="1" applyProtection="1">
      <alignment horizontal="left"/>
    </xf>
    <xf numFmtId="0" fontId="16" fillId="0" borderId="31" xfId="1" applyFont="1" applyFill="1" applyBorder="1" applyAlignment="1" applyProtection="1">
      <alignment horizontal="left"/>
    </xf>
    <xf numFmtId="0" fontId="7" fillId="0" borderId="15" xfId="1" applyFont="1" applyBorder="1" applyAlignment="1" applyProtection="1">
      <alignment horizontal="center"/>
    </xf>
    <xf numFmtId="0" fontId="7" fillId="0" borderId="17" xfId="1" applyFont="1" applyBorder="1" applyAlignment="1" applyProtection="1">
      <alignment horizontal="center"/>
    </xf>
    <xf numFmtId="49" fontId="7" fillId="21" borderId="15" xfId="1" applyNumberFormat="1" applyFont="1" applyFill="1" applyBorder="1" applyAlignment="1" applyProtection="1">
      <alignment horizontal="center"/>
      <protection locked="0"/>
    </xf>
    <xf numFmtId="49" fontId="7" fillId="21" borderId="17" xfId="1" applyNumberFormat="1" applyFont="1" applyFill="1" applyBorder="1" applyAlignment="1" applyProtection="1">
      <alignment horizontal="center"/>
      <protection locked="0"/>
    </xf>
    <xf numFmtId="49" fontId="7" fillId="0" borderId="15" xfId="1" applyNumberFormat="1" applyFont="1" applyFill="1" applyBorder="1" applyAlignment="1" applyProtection="1">
      <alignment horizontal="center"/>
      <protection locked="0"/>
    </xf>
    <xf numFmtId="49" fontId="7" fillId="0" borderId="17" xfId="1" applyNumberFormat="1" applyFont="1" applyFill="1" applyBorder="1" applyAlignment="1" applyProtection="1">
      <alignment horizontal="center"/>
      <protection locked="0"/>
    </xf>
    <xf numFmtId="0" fontId="7" fillId="0" borderId="23" xfId="1" applyFont="1" applyBorder="1" applyAlignment="1" applyProtection="1"/>
    <xf numFmtId="0" fontId="7" fillId="0" borderId="25" xfId="1" applyFont="1" applyBorder="1" applyAlignment="1" applyProtection="1"/>
    <xf numFmtId="0" fontId="7" fillId="0" borderId="26" xfId="1" applyFont="1" applyBorder="1" applyAlignment="1" applyProtection="1"/>
    <xf numFmtId="0" fontId="7" fillId="0" borderId="23" xfId="1" applyFont="1" applyBorder="1" applyAlignment="1" applyProtection="1">
      <alignment horizontal="center"/>
    </xf>
    <xf numFmtId="0" fontId="7" fillId="0" borderId="26" xfId="1" applyFont="1" applyBorder="1" applyAlignment="1" applyProtection="1">
      <alignment horizontal="center"/>
    </xf>
    <xf numFmtId="49" fontId="7" fillId="21" borderId="23" xfId="1" applyNumberFormat="1" applyFont="1" applyFill="1" applyBorder="1" applyAlignment="1" applyProtection="1">
      <alignment horizontal="center"/>
      <protection locked="0"/>
    </xf>
    <xf numFmtId="49" fontId="7" fillId="21" borderId="26" xfId="1" applyNumberFormat="1" applyFont="1" applyFill="1" applyBorder="1" applyAlignment="1" applyProtection="1">
      <alignment horizontal="center"/>
      <protection locked="0"/>
    </xf>
    <xf numFmtId="0" fontId="7" fillId="0" borderId="27" xfId="1" applyFont="1" applyBorder="1" applyAlignment="1" applyProtection="1"/>
    <xf numFmtId="0" fontId="7" fillId="0" borderId="29" xfId="1" applyFont="1" applyBorder="1" applyAlignment="1" applyProtection="1"/>
    <xf numFmtId="0" fontId="7" fillId="0" borderId="30" xfId="1" applyFont="1" applyBorder="1" applyAlignment="1" applyProtection="1"/>
    <xf numFmtId="0" fontId="7" fillId="0" borderId="28" xfId="1" applyFont="1" applyBorder="1" applyAlignment="1" applyProtection="1">
      <alignment horizontal="center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49" fontId="7" fillId="21" borderId="30" xfId="1" applyNumberFormat="1" applyFont="1" applyFill="1" applyBorder="1" applyAlignment="1" applyProtection="1">
      <alignment horizontal="center"/>
      <protection locked="0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5" xfId="1" applyFont="1" applyBorder="1" applyAlignment="1" applyProtection="1">
      <alignment horizontal="center" vertical="top" wrapText="1"/>
    </xf>
    <xf numFmtId="0" fontId="13" fillId="0" borderId="7" xfId="1" applyFont="1" applyBorder="1" applyAlignment="1" applyProtection="1">
      <alignment horizontal="center" vertical="top" wrapText="1"/>
    </xf>
    <xf numFmtId="0" fontId="13" fillId="0" borderId="6" xfId="1" applyFont="1" applyBorder="1" applyAlignment="1" applyProtection="1">
      <alignment horizontal="center" vertical="top" wrapText="1"/>
    </xf>
    <xf numFmtId="0" fontId="7" fillId="0" borderId="24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left" vertical="top" wrapText="1"/>
    </xf>
    <xf numFmtId="0" fontId="9" fillId="0" borderId="13" xfId="1" applyFont="1" applyBorder="1" applyAlignment="1" applyProtection="1">
      <alignment horizontal="left" vertical="top" wrapText="1"/>
    </xf>
    <xf numFmtId="0" fontId="9" fillId="0" borderId="12" xfId="1" applyFont="1" applyBorder="1" applyAlignment="1" applyProtection="1">
      <alignment horizontal="center" vertical="top" wrapText="1"/>
    </xf>
    <xf numFmtId="0" fontId="9" fillId="0" borderId="13" xfId="1" applyFont="1" applyBorder="1" applyAlignment="1" applyProtection="1">
      <alignment horizontal="center" vertical="top" wrapText="1"/>
    </xf>
    <xf numFmtId="0" fontId="47" fillId="0" borderId="12" xfId="1" applyFont="1" applyBorder="1" applyAlignment="1" applyProtection="1">
      <alignment horizontal="center" vertical="top" wrapText="1"/>
    </xf>
    <xf numFmtId="0" fontId="47" fillId="0" borderId="0" xfId="1" applyFont="1" applyBorder="1" applyAlignment="1" applyProtection="1">
      <alignment horizontal="center" vertical="top" wrapText="1"/>
    </xf>
    <xf numFmtId="0" fontId="47" fillId="0" borderId="13" xfId="1" applyFont="1" applyBorder="1" applyAlignment="1" applyProtection="1">
      <alignment horizontal="center" vertical="top" wrapText="1"/>
    </xf>
    <xf numFmtId="0" fontId="9" fillId="0" borderId="9" xfId="1" applyFont="1" applyBorder="1" applyAlignment="1" applyProtection="1">
      <alignment horizontal="left" vertical="top" wrapText="1"/>
    </xf>
    <xf numFmtId="0" fontId="9" fillId="0" borderId="1" xfId="1" applyFont="1" applyBorder="1" applyAlignment="1" applyProtection="1">
      <alignment horizontal="left" vertical="top" wrapText="1"/>
    </xf>
    <xf numFmtId="0" fontId="9" fillId="0" borderId="10" xfId="1" applyFont="1" applyBorder="1" applyAlignment="1" applyProtection="1">
      <alignment horizontal="left" vertical="top" wrapText="1"/>
    </xf>
    <xf numFmtId="0" fontId="9" fillId="0" borderId="9" xfId="1" applyFont="1" applyBorder="1" applyAlignment="1" applyProtection="1">
      <alignment horizontal="center" vertical="top" wrapText="1"/>
    </xf>
    <xf numFmtId="0" fontId="9" fillId="0" borderId="10" xfId="1" applyFont="1" applyBorder="1" applyAlignment="1" applyProtection="1">
      <alignment horizontal="center" vertical="top" wrapText="1"/>
    </xf>
    <xf numFmtId="0" fontId="7" fillId="0" borderId="10" xfId="1" applyFont="1" applyBorder="1" applyAlignment="1" applyProtection="1">
      <alignment horizontal="center"/>
    </xf>
    <xf numFmtId="0" fontId="47" fillId="0" borderId="9" xfId="1" applyFont="1" applyBorder="1" applyAlignment="1" applyProtection="1">
      <alignment horizontal="center" vertical="top" wrapText="1"/>
    </xf>
    <xf numFmtId="0" fontId="47" fillId="0" borderId="1" xfId="1" applyFont="1" applyBorder="1" applyAlignment="1" applyProtection="1">
      <alignment horizontal="center" vertical="top" wrapText="1"/>
    </xf>
    <xf numFmtId="0" fontId="47" fillId="0" borderId="10" xfId="1" applyFont="1" applyBorder="1" applyAlignment="1" applyProtection="1">
      <alignment horizontal="center" vertical="top" wrapText="1"/>
    </xf>
    <xf numFmtId="0" fontId="9" fillId="0" borderId="3" xfId="1" applyFont="1" applyBorder="1" applyAlignment="1" applyProtection="1">
      <alignment horizontal="left" vertical="top" wrapText="1"/>
    </xf>
    <xf numFmtId="0" fontId="9" fillId="0" borderId="4" xfId="1" applyFont="1" applyBorder="1" applyAlignment="1" applyProtection="1">
      <alignment horizontal="left" vertical="top" wrapText="1"/>
    </xf>
    <xf numFmtId="0" fontId="9" fillId="0" borderId="31" xfId="1" applyFont="1" applyBorder="1" applyAlignment="1" applyProtection="1">
      <alignment horizontal="left" vertical="top" wrapText="1"/>
    </xf>
    <xf numFmtId="0" fontId="9" fillId="0" borderId="3" xfId="1" applyFont="1" applyBorder="1" applyAlignment="1" applyProtection="1">
      <alignment horizontal="center" vertical="top" wrapText="1"/>
    </xf>
    <xf numFmtId="0" fontId="9" fillId="0" borderId="31" xfId="1" applyFont="1" applyBorder="1" applyAlignment="1" applyProtection="1">
      <alignment horizontal="center" vertical="top" wrapText="1"/>
    </xf>
    <xf numFmtId="0" fontId="47" fillId="0" borderId="3" xfId="1" applyFont="1" applyBorder="1" applyAlignment="1" applyProtection="1">
      <alignment horizontal="center" vertical="top" wrapText="1"/>
    </xf>
    <xf numFmtId="0" fontId="47" fillId="0" borderId="4" xfId="1" applyFont="1" applyBorder="1" applyAlignment="1" applyProtection="1">
      <alignment horizontal="center" vertical="top" wrapText="1"/>
    </xf>
    <xf numFmtId="0" fontId="47" fillId="0" borderId="31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left"/>
    </xf>
    <xf numFmtId="0" fontId="7" fillId="0" borderId="6" xfId="1" applyFont="1" applyBorder="1" applyAlignment="1" applyProtection="1">
      <alignment horizontal="left"/>
    </xf>
    <xf numFmtId="0" fontId="7" fillId="0" borderId="7" xfId="1" applyFont="1" applyBorder="1" applyAlignment="1" applyProtection="1">
      <alignment horizontal="left"/>
    </xf>
    <xf numFmtId="0" fontId="13" fillId="0" borderId="5" xfId="1" applyFont="1" applyBorder="1" applyAlignment="1" applyProtection="1">
      <alignment horizontal="center" vertical="top"/>
    </xf>
    <xf numFmtId="0" fontId="13" fillId="0" borderId="7" xfId="1" applyFont="1" applyBorder="1" applyAlignment="1" applyProtection="1">
      <alignment horizontal="center" vertical="top"/>
    </xf>
    <xf numFmtId="49" fontId="18" fillId="0" borderId="11" xfId="1" applyNumberFormat="1" applyFont="1" applyBorder="1" applyAlignment="1" applyProtection="1">
      <alignment horizontal="center" vertical="center"/>
    </xf>
    <xf numFmtId="2" fontId="48" fillId="0" borderId="5" xfId="1" applyNumberFormat="1" applyFont="1" applyBorder="1" applyAlignment="1" applyProtection="1">
      <alignment horizontal="center"/>
    </xf>
    <xf numFmtId="2" fontId="48" fillId="0" borderId="6" xfId="1" applyNumberFormat="1" applyFont="1" applyBorder="1" applyAlignment="1" applyProtection="1">
      <alignment horizontal="center"/>
    </xf>
    <xf numFmtId="2" fontId="48" fillId="0" borderId="7" xfId="1" applyNumberFormat="1" applyFont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horizontal="center" vertical="top" wrapText="1"/>
    </xf>
    <xf numFmtId="2" fontId="47" fillId="0" borderId="15" xfId="1" applyNumberFormat="1" applyFont="1" applyBorder="1" applyAlignment="1" applyProtection="1">
      <alignment horizontal="center" vertical="top" wrapText="1"/>
    </xf>
    <xf numFmtId="2" fontId="47" fillId="0" borderId="16" xfId="1" applyNumberFormat="1" applyFont="1" applyBorder="1" applyAlignment="1" applyProtection="1">
      <alignment horizontal="center" vertical="top" wrapText="1"/>
    </xf>
    <xf numFmtId="2" fontId="47" fillId="0" borderId="17" xfId="1" applyNumberFormat="1" applyFont="1" applyBorder="1" applyAlignment="1" applyProtection="1">
      <alignment horizontal="center" vertical="top" wrapText="1"/>
    </xf>
    <xf numFmtId="2" fontId="47" fillId="0" borderId="9" xfId="1" applyNumberFormat="1" applyFont="1" applyBorder="1" applyAlignment="1" applyProtection="1">
      <alignment horizontal="center" vertical="top" wrapText="1"/>
    </xf>
    <xf numFmtId="2" fontId="47" fillId="0" borderId="1" xfId="1" applyNumberFormat="1" applyFont="1" applyBorder="1" applyAlignment="1" applyProtection="1">
      <alignment horizontal="center" vertical="top" wrapText="1"/>
    </xf>
    <xf numFmtId="2" fontId="47" fillId="0" borderId="10" xfId="1" applyNumberFormat="1" applyFont="1" applyBorder="1" applyAlignment="1" applyProtection="1">
      <alignment horizontal="center" vertical="top" wrapText="1"/>
    </xf>
    <xf numFmtId="2" fontId="48" fillId="0" borderId="5" xfId="1" applyNumberFormat="1" applyFont="1" applyBorder="1" applyAlignment="1" applyProtection="1">
      <alignment horizontal="center" vertical="top" wrapText="1"/>
    </xf>
    <xf numFmtId="2" fontId="48" fillId="0" borderId="6" xfId="1" applyNumberFormat="1" applyFont="1" applyBorder="1" applyAlignment="1" applyProtection="1">
      <alignment horizontal="center" vertical="top" wrapText="1"/>
    </xf>
    <xf numFmtId="2" fontId="48" fillId="0" borderId="7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2" fontId="48" fillId="0" borderId="27" xfId="1" applyNumberFormat="1" applyFont="1" applyBorder="1" applyAlignment="1" applyProtection="1">
      <alignment horizontal="center" vertical="top" wrapText="1"/>
    </xf>
    <xf numFmtId="2" fontId="48" fillId="0" borderId="29" xfId="1" applyNumberFormat="1" applyFont="1" applyBorder="1" applyAlignment="1" applyProtection="1">
      <alignment horizontal="center" vertical="top" wrapText="1"/>
    </xf>
    <xf numFmtId="2" fontId="48" fillId="0" borderId="30" xfId="1" applyNumberFormat="1" applyFont="1" applyBorder="1" applyAlignment="1" applyProtection="1">
      <alignment horizontal="center" vertical="top" wrapText="1"/>
    </xf>
    <xf numFmtId="0" fontId="13" fillId="0" borderId="3" xfId="1" applyFont="1" applyBorder="1" applyAlignment="1" applyProtection="1">
      <alignment horizontal="left"/>
      <protection locked="0"/>
    </xf>
    <xf numFmtId="0" fontId="13" fillId="0" borderId="4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2" fontId="47" fillId="0" borderId="23" xfId="1" applyNumberFormat="1" applyFont="1" applyBorder="1" applyAlignment="1" applyProtection="1">
      <alignment horizontal="center" vertical="top" wrapText="1"/>
    </xf>
    <xf numFmtId="2" fontId="47" fillId="0" borderId="25" xfId="1" applyNumberFormat="1" applyFont="1" applyBorder="1" applyAlignment="1" applyProtection="1">
      <alignment horizontal="center" vertical="top" wrapText="1"/>
    </xf>
    <xf numFmtId="2" fontId="47" fillId="0" borderId="26" xfId="1" applyNumberFormat="1" applyFont="1" applyBorder="1" applyAlignment="1" applyProtection="1">
      <alignment horizontal="center" vertical="top" wrapText="1"/>
    </xf>
    <xf numFmtId="0" fontId="7" fillId="21" borderId="9" xfId="1" applyFont="1" applyFill="1" applyBorder="1" applyAlignment="1" applyProtection="1">
      <alignment horizontal="left" vertical="top" wrapText="1"/>
      <protection locked="0"/>
    </xf>
    <xf numFmtId="0" fontId="7" fillId="21" borderId="10" xfId="1" applyFont="1" applyFill="1" applyBorder="1" applyAlignment="1" applyProtection="1">
      <alignment horizontal="left" vertical="top" wrapText="1"/>
      <protection locked="0"/>
    </xf>
    <xf numFmtId="0" fontId="7" fillId="21" borderId="15" xfId="1" applyFont="1" applyFill="1" applyBorder="1" applyAlignment="1" applyProtection="1">
      <alignment horizontal="left" vertical="top" wrapText="1"/>
      <protection locked="0"/>
    </xf>
    <xf numFmtId="0" fontId="7" fillId="21" borderId="17" xfId="1" applyFont="1" applyFill="1" applyBorder="1" applyAlignment="1" applyProtection="1">
      <alignment horizontal="left" vertical="top" wrapText="1"/>
      <protection locked="0"/>
    </xf>
    <xf numFmtId="0" fontId="7" fillId="21" borderId="23" xfId="1" applyFont="1" applyFill="1" applyBorder="1" applyAlignment="1" applyProtection="1">
      <alignment horizontal="left" vertical="top" wrapText="1"/>
      <protection locked="0"/>
    </xf>
    <xf numFmtId="0" fontId="7" fillId="21" borderId="26" xfId="1" applyFont="1" applyFill="1" applyBorder="1" applyAlignment="1" applyProtection="1">
      <alignment horizontal="left" vertical="top" wrapText="1"/>
      <protection locked="0"/>
    </xf>
    <xf numFmtId="0" fontId="7" fillId="21" borderId="27" xfId="1" applyFont="1" applyFill="1" applyBorder="1" applyAlignment="1" applyProtection="1">
      <alignment horizontal="left" vertical="top" wrapText="1"/>
      <protection locked="0"/>
    </xf>
    <xf numFmtId="0" fontId="7" fillId="21" borderId="30" xfId="1" applyFont="1" applyFill="1" applyBorder="1" applyAlignment="1" applyProtection="1">
      <alignment horizontal="left" vertical="top" wrapText="1"/>
      <protection locked="0"/>
    </xf>
    <xf numFmtId="0" fontId="10" fillId="0" borderId="11" xfId="1" applyFont="1" applyBorder="1" applyAlignment="1" applyProtection="1">
      <alignment horizontal="center" vertical="top" shrinkToFi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3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21" borderId="4" xfId="1" applyFont="1" applyFill="1" applyBorder="1" applyAlignment="1" applyProtection="1">
      <alignment horizontal="left" vertical="top" wrapText="1"/>
      <protection locked="0"/>
    </xf>
    <xf numFmtId="0" fontId="7" fillId="21" borderId="1" xfId="1" applyFont="1" applyFill="1" applyBorder="1" applyAlignment="1" applyProtection="1">
      <alignment horizontal="left" vertical="top" wrapText="1"/>
      <protection locked="0"/>
    </xf>
    <xf numFmtId="0" fontId="13" fillId="23" borderId="9" xfId="1" applyFont="1" applyFill="1" applyBorder="1" applyAlignment="1" applyProtection="1">
      <alignment horizontal="center" vertical="top" wrapText="1"/>
      <protection locked="0"/>
    </xf>
    <xf numFmtId="0" fontId="13" fillId="23" borderId="1" xfId="1" applyFont="1" applyFill="1" applyBorder="1" applyAlignment="1" applyProtection="1">
      <alignment horizontal="center" vertical="top" wrapText="1"/>
      <protection locked="0"/>
    </xf>
    <xf numFmtId="0" fontId="13" fillId="23" borderId="10" xfId="1" applyFont="1" applyFill="1" applyBorder="1" applyAlignment="1" applyProtection="1">
      <alignment horizontal="center" vertical="top" wrapText="1"/>
      <protection locked="0"/>
    </xf>
    <xf numFmtId="0" fontId="37" fillId="13" borderId="11" xfId="6" applyFont="1" applyFill="1" applyBorder="1" applyAlignment="1" applyProtection="1">
      <alignment horizontal="center" vertical="center"/>
    </xf>
    <xf numFmtId="0" fontId="66" fillId="13" borderId="11" xfId="9" applyFont="1" applyFill="1" applyBorder="1" applyAlignment="1" applyProtection="1">
      <alignment horizontal="center" vertical="top" wrapText="1"/>
    </xf>
    <xf numFmtId="0" fontId="66" fillId="13" borderId="11" xfId="9" applyFont="1" applyFill="1" applyBorder="1" applyAlignment="1" applyProtection="1">
      <alignment horizontal="center" vertical="top"/>
    </xf>
    <xf numFmtId="0" fontId="68" fillId="0" borderId="0" xfId="9" applyFont="1" applyAlignment="1" applyProtection="1">
      <alignment horizontal="left" vertical="center" wrapText="1"/>
    </xf>
    <xf numFmtId="0" fontId="64" fillId="13" borderId="65" xfId="9" applyFont="1" applyFill="1" applyBorder="1" applyAlignment="1" applyProtection="1">
      <alignment horizontal="center" vertical="center" wrapText="1"/>
    </xf>
    <xf numFmtId="0" fontId="64" fillId="13" borderId="66" xfId="9" applyFont="1" applyFill="1" applyBorder="1" applyAlignment="1" applyProtection="1">
      <alignment horizontal="center" vertical="center" wrapText="1"/>
    </xf>
    <xf numFmtId="0" fontId="64" fillId="13" borderId="67" xfId="9" applyFont="1" applyFill="1" applyBorder="1" applyAlignment="1" applyProtection="1">
      <alignment horizontal="center" vertical="center" wrapText="1"/>
    </xf>
    <xf numFmtId="0" fontId="37" fillId="13" borderId="2" xfId="6" applyFont="1" applyFill="1" applyBorder="1" applyAlignment="1" applyProtection="1">
      <alignment horizontal="center" vertical="top" wrapText="1"/>
    </xf>
    <xf numFmtId="0" fontId="37" fillId="13" borderId="22" xfId="6" applyFont="1" applyFill="1" applyBorder="1" applyAlignment="1" applyProtection="1">
      <alignment horizontal="center" vertical="top" wrapText="1"/>
    </xf>
    <xf numFmtId="0" fontId="37" fillId="13" borderId="8" xfId="6" applyFont="1" applyFill="1" applyBorder="1" applyAlignment="1" applyProtection="1">
      <alignment horizontal="center" vertical="top" wrapText="1"/>
    </xf>
    <xf numFmtId="0" fontId="64" fillId="13" borderId="3" xfId="9" applyFont="1" applyFill="1" applyBorder="1" applyAlignment="1" applyProtection="1">
      <alignment horizontal="center" vertical="center" wrapText="1"/>
    </xf>
    <xf numFmtId="0" fontId="64" fillId="13" borderId="4" xfId="9" applyFont="1" applyFill="1" applyBorder="1" applyAlignment="1" applyProtection="1">
      <alignment horizontal="center" vertical="center" wrapText="1"/>
    </xf>
    <xf numFmtId="0" fontId="64" fillId="13" borderId="31" xfId="9" applyFont="1" applyFill="1" applyBorder="1" applyAlignment="1" applyProtection="1">
      <alignment horizontal="center" vertical="center" wrapText="1"/>
    </xf>
    <xf numFmtId="0" fontId="64" fillId="13" borderId="12" xfId="9" applyFont="1" applyFill="1" applyBorder="1" applyAlignment="1" applyProtection="1">
      <alignment horizontal="center" vertical="center" wrapText="1"/>
    </xf>
    <xf numFmtId="0" fontId="64" fillId="13" borderId="0" xfId="9" applyFont="1" applyFill="1" applyBorder="1" applyAlignment="1" applyProtection="1">
      <alignment horizontal="center" vertical="center" wrapText="1"/>
    </xf>
    <xf numFmtId="0" fontId="64" fillId="13" borderId="13" xfId="9" applyFont="1" applyFill="1" applyBorder="1" applyAlignment="1" applyProtection="1">
      <alignment horizontal="center" vertical="center" wrapText="1"/>
    </xf>
    <xf numFmtId="0" fontId="64" fillId="13" borderId="9" xfId="9" applyFont="1" applyFill="1" applyBorder="1" applyAlignment="1" applyProtection="1">
      <alignment horizontal="center" vertical="center" wrapText="1"/>
    </xf>
    <xf numFmtId="0" fontId="64" fillId="13" borderId="1" xfId="9" applyFont="1" applyFill="1" applyBorder="1" applyAlignment="1" applyProtection="1">
      <alignment horizontal="center" vertical="center" wrapText="1"/>
    </xf>
    <xf numFmtId="0" fontId="64" fillId="13" borderId="10" xfId="9" applyFont="1" applyFill="1" applyBorder="1" applyAlignment="1" applyProtection="1">
      <alignment horizontal="center" vertical="center" wrapText="1"/>
    </xf>
    <xf numFmtId="0" fontId="64" fillId="0" borderId="5" xfId="9" applyFont="1" applyBorder="1" applyAlignment="1" applyProtection="1">
      <alignment horizontal="center" vertical="center"/>
    </xf>
    <xf numFmtId="0" fontId="64" fillId="0" borderId="6" xfId="9" applyFont="1" applyBorder="1" applyAlignment="1" applyProtection="1">
      <alignment horizontal="center" vertical="center"/>
    </xf>
    <xf numFmtId="0" fontId="64" fillId="0" borderId="7" xfId="9" applyFont="1" applyBorder="1" applyAlignment="1" applyProtection="1">
      <alignment horizontal="center" vertical="center"/>
    </xf>
    <xf numFmtId="0" fontId="64" fillId="13" borderId="3" xfId="9" applyFont="1" applyFill="1" applyBorder="1" applyAlignment="1" applyProtection="1">
      <alignment horizontal="center" vertical="center"/>
    </xf>
    <xf numFmtId="0" fontId="64" fillId="13" borderId="4" xfId="9" applyFont="1" applyFill="1" applyBorder="1" applyAlignment="1" applyProtection="1">
      <alignment horizontal="center" vertical="center"/>
    </xf>
    <xf numFmtId="0" fontId="64" fillId="13" borderId="31" xfId="9" applyFont="1" applyFill="1" applyBorder="1" applyAlignment="1" applyProtection="1">
      <alignment horizontal="center" vertical="center"/>
    </xf>
    <xf numFmtId="0" fontId="64" fillId="13" borderId="12" xfId="9" applyFont="1" applyFill="1" applyBorder="1" applyAlignment="1" applyProtection="1">
      <alignment horizontal="center" vertical="center"/>
    </xf>
    <xf numFmtId="0" fontId="64" fillId="13" borderId="0" xfId="9" applyFont="1" applyFill="1" applyBorder="1" applyAlignment="1" applyProtection="1">
      <alignment horizontal="center" vertical="center"/>
    </xf>
    <xf numFmtId="0" fontId="64" fillId="13" borderId="13" xfId="9" applyFont="1" applyFill="1" applyBorder="1" applyAlignment="1" applyProtection="1">
      <alignment horizontal="center" vertical="center"/>
    </xf>
    <xf numFmtId="0" fontId="64" fillId="13" borderId="9" xfId="9" applyFont="1" applyFill="1" applyBorder="1" applyAlignment="1" applyProtection="1">
      <alignment horizontal="center" vertical="center"/>
    </xf>
    <xf numFmtId="0" fontId="64" fillId="13" borderId="1" xfId="9" applyFont="1" applyFill="1" applyBorder="1" applyAlignment="1" applyProtection="1">
      <alignment horizontal="center" vertical="center"/>
    </xf>
    <xf numFmtId="0" fontId="64" fillId="13" borderId="10" xfId="9" applyFont="1" applyFill="1" applyBorder="1" applyAlignment="1" applyProtection="1">
      <alignment horizontal="center" vertical="center"/>
    </xf>
    <xf numFmtId="0" fontId="15" fillId="0" borderId="64" xfId="3" applyFont="1" applyFill="1" applyBorder="1" applyAlignment="1" applyProtection="1">
      <alignment horizontal="left" vertical="center"/>
    </xf>
    <xf numFmtId="0" fontId="37" fillId="12" borderId="5" xfId="6" applyFont="1" applyFill="1" applyBorder="1" applyAlignment="1" applyProtection="1">
      <alignment horizontal="center" vertical="center"/>
    </xf>
    <xf numFmtId="0" fontId="37" fillId="12" borderId="6" xfId="6" applyFont="1" applyFill="1" applyBorder="1" applyAlignment="1" applyProtection="1">
      <alignment horizontal="center" vertical="center"/>
    </xf>
    <xf numFmtId="0" fontId="37" fillId="12" borderId="7" xfId="6" applyFont="1" applyFill="1" applyBorder="1" applyAlignment="1" applyProtection="1">
      <alignment horizontal="center" vertical="center"/>
    </xf>
    <xf numFmtId="0" fontId="15" fillId="0" borderId="63" xfId="3" applyFont="1" applyFill="1" applyBorder="1" applyAlignment="1" applyProtection="1">
      <alignment horizontal="left" vertical="center"/>
    </xf>
    <xf numFmtId="0" fontId="60" fillId="0" borderId="5" xfId="9" applyFont="1" applyBorder="1" applyAlignment="1" applyProtection="1">
      <alignment horizontal="left" vertical="center"/>
    </xf>
    <xf numFmtId="0" fontId="60" fillId="0" borderId="6" xfId="9" applyFont="1" applyBorder="1" applyAlignment="1" applyProtection="1">
      <alignment horizontal="left" vertical="center"/>
    </xf>
    <xf numFmtId="0" fontId="60" fillId="0" borderId="7" xfId="9" applyFont="1" applyBorder="1" applyAlignment="1" applyProtection="1">
      <alignment horizontal="left" vertical="center"/>
    </xf>
    <xf numFmtId="0" fontId="66" fillId="13" borderId="2" xfId="6" applyFont="1" applyFill="1" applyBorder="1" applyAlignment="1" applyProtection="1">
      <alignment horizontal="center" vertical="top" wrapText="1"/>
    </xf>
    <xf numFmtId="0" fontId="66" fillId="13" borderId="22" xfId="6" applyFont="1" applyFill="1" applyBorder="1" applyAlignment="1" applyProtection="1">
      <alignment horizontal="center" vertical="top" wrapText="1"/>
    </xf>
    <xf numFmtId="0" fontId="66" fillId="13" borderId="8" xfId="6" applyFont="1" applyFill="1" applyBorder="1" applyAlignment="1" applyProtection="1">
      <alignment horizontal="center" vertical="top" wrapText="1"/>
    </xf>
    <xf numFmtId="0" fontId="37" fillId="13" borderId="5" xfId="6" applyFont="1" applyFill="1" applyBorder="1" applyAlignment="1" applyProtection="1">
      <alignment horizontal="center" vertical="center"/>
    </xf>
    <xf numFmtId="0" fontId="37" fillId="13" borderId="6" xfId="6" applyFont="1" applyFill="1" applyBorder="1" applyAlignment="1" applyProtection="1">
      <alignment horizontal="center" vertical="center"/>
    </xf>
    <xf numFmtId="0" fontId="37" fillId="13" borderId="7" xfId="6" applyFont="1" applyFill="1" applyBorder="1" applyAlignment="1" applyProtection="1">
      <alignment horizontal="center" vertical="center"/>
    </xf>
    <xf numFmtId="0" fontId="37" fillId="13" borderId="22" xfId="6" applyFont="1" applyFill="1" applyBorder="1" applyAlignment="1" applyProtection="1">
      <alignment horizontal="center" vertical="top"/>
    </xf>
    <xf numFmtId="0" fontId="37" fillId="13" borderId="8" xfId="6" applyFont="1" applyFill="1" applyBorder="1" applyAlignment="1" applyProtection="1">
      <alignment horizontal="center" vertical="top"/>
    </xf>
    <xf numFmtId="0" fontId="66" fillId="13" borderId="22" xfId="6" applyFont="1" applyFill="1" applyBorder="1" applyAlignment="1" applyProtection="1">
      <alignment horizontal="center" vertical="top"/>
    </xf>
    <xf numFmtId="0" fontId="66" fillId="13" borderId="8" xfId="6" applyFont="1" applyFill="1" applyBorder="1" applyAlignment="1" applyProtection="1">
      <alignment horizontal="center" vertical="top"/>
    </xf>
    <xf numFmtId="0" fontId="59" fillId="0" borderId="0" xfId="9" applyFont="1" applyFill="1" applyAlignment="1" applyProtection="1">
      <alignment horizontal="center"/>
    </xf>
    <xf numFmtId="0" fontId="68" fillId="0" borderId="64" xfId="9" applyFont="1" applyBorder="1" applyAlignment="1" applyProtection="1">
      <alignment horizontal="left" vertical="center" wrapText="1"/>
    </xf>
    <xf numFmtId="49" fontId="60" fillId="0" borderId="77" xfId="9" applyNumberFormat="1" applyFont="1" applyBorder="1" applyAlignment="1" applyProtection="1">
      <alignment horizontal="right" vertical="top" wrapText="1"/>
    </xf>
    <xf numFmtId="49" fontId="60" fillId="0" borderId="79" xfId="9" applyNumberFormat="1" applyFont="1" applyBorder="1" applyAlignment="1" applyProtection="1">
      <alignment horizontal="right" vertical="top" wrapText="1"/>
    </xf>
    <xf numFmtId="0" fontId="15" fillId="0" borderId="78" xfId="9" applyFont="1" applyBorder="1" applyAlignment="1" applyProtection="1">
      <alignment horizontal="center" vertical="center"/>
    </xf>
    <xf numFmtId="0" fontId="15" fillId="0" borderId="76" xfId="9" applyFont="1" applyBorder="1" applyAlignment="1" applyProtection="1">
      <alignment horizontal="center" vertical="center"/>
    </xf>
    <xf numFmtId="0" fontId="64" fillId="0" borderId="5" xfId="9" applyFont="1" applyFill="1" applyBorder="1" applyAlignment="1" applyProtection="1">
      <alignment vertical="center"/>
    </xf>
    <xf numFmtId="0" fontId="64" fillId="0" borderId="6" xfId="9" applyFont="1" applyFill="1" applyBorder="1" applyAlignment="1" applyProtection="1">
      <alignment vertical="center"/>
    </xf>
    <xf numFmtId="0" fontId="64" fillId="0" borderId="7" xfId="9" applyFont="1" applyFill="1" applyBorder="1" applyAlignment="1" applyProtection="1">
      <alignment vertical="center"/>
    </xf>
    <xf numFmtId="0" fontId="60" fillId="0" borderId="16" xfId="9" applyFont="1" applyBorder="1" applyAlignment="1" applyProtection="1">
      <alignment horizontal="left" vertical="center"/>
    </xf>
    <xf numFmtId="0" fontId="60" fillId="0" borderId="17" xfId="9" applyFont="1" applyBorder="1" applyAlignment="1" applyProtection="1">
      <alignment horizontal="left" vertical="center"/>
    </xf>
    <xf numFmtId="0" fontId="63" fillId="0" borderId="0" xfId="9" applyFont="1" applyBorder="1" applyAlignment="1" applyProtection="1">
      <alignment horizontal="left"/>
    </xf>
    <xf numFmtId="0" fontId="60" fillId="0" borderId="25" xfId="9" applyFont="1" applyBorder="1" applyAlignment="1" applyProtection="1">
      <alignment horizontal="left" vertical="center"/>
    </xf>
    <xf numFmtId="0" fontId="60" fillId="0" borderId="26" xfId="9" applyFont="1" applyBorder="1" applyAlignment="1" applyProtection="1">
      <alignment horizontal="left" vertical="center"/>
    </xf>
    <xf numFmtId="0" fontId="60" fillId="0" borderId="29" xfId="9" applyFont="1" applyBorder="1" applyAlignment="1" applyProtection="1">
      <alignment horizontal="left" vertical="center"/>
    </xf>
    <xf numFmtId="0" fontId="60" fillId="0" borderId="30" xfId="9" applyFont="1" applyBorder="1" applyAlignment="1" applyProtection="1">
      <alignment horizontal="left" vertical="center"/>
    </xf>
    <xf numFmtId="0" fontId="60" fillId="0" borderId="64" xfId="9" applyFont="1" applyBorder="1" applyAlignment="1" applyProtection="1">
      <alignment horizontal="left" vertical="center" wrapText="1"/>
    </xf>
    <xf numFmtId="0" fontId="60" fillId="0" borderId="64" xfId="9" applyFont="1" applyBorder="1" applyAlignment="1" applyProtection="1">
      <alignment horizontal="left" vertical="top" wrapText="1"/>
    </xf>
    <xf numFmtId="0" fontId="72" fillId="0" borderId="64" xfId="9" applyFont="1" applyBorder="1" applyAlignment="1" applyProtection="1">
      <alignment horizontal="left" vertical="top" wrapText="1"/>
    </xf>
    <xf numFmtId="0" fontId="72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top" wrapText="1"/>
    </xf>
    <xf numFmtId="0" fontId="15" fillId="0" borderId="72" xfId="9" applyFont="1" applyBorder="1" applyAlignment="1" applyProtection="1">
      <alignment horizontal="left" vertical="top" wrapText="1"/>
    </xf>
    <xf numFmtId="0" fontId="72" fillId="0" borderId="64" xfId="9" applyFont="1" applyBorder="1" applyAlignment="1" applyProtection="1">
      <alignment horizontal="left" vertical="center" wrapText="1"/>
    </xf>
    <xf numFmtId="0" fontId="72" fillId="0" borderId="72" xfId="9" applyFont="1" applyBorder="1" applyAlignment="1" applyProtection="1">
      <alignment horizontal="left" vertical="center" wrapText="1"/>
    </xf>
    <xf numFmtId="0" fontId="64" fillId="13" borderId="80" xfId="9" applyFont="1" applyFill="1" applyBorder="1" applyAlignment="1" applyProtection="1">
      <alignment horizontal="right"/>
    </xf>
    <xf numFmtId="0" fontId="64" fillId="13" borderId="81" xfId="9" applyFont="1" applyFill="1" applyBorder="1" applyAlignment="1" applyProtection="1">
      <alignment horizontal="right"/>
    </xf>
    <xf numFmtId="0" fontId="64" fillId="13" borderId="82" xfId="9" applyFont="1" applyFill="1" applyBorder="1" applyAlignment="1" applyProtection="1">
      <alignment horizontal="right"/>
    </xf>
    <xf numFmtId="0" fontId="64" fillId="13" borderId="70" xfId="9" applyFont="1" applyFill="1" applyBorder="1" applyAlignment="1" applyProtection="1">
      <alignment horizontal="right"/>
    </xf>
    <xf numFmtId="0" fontId="64" fillId="13" borderId="64" xfId="9" applyFont="1" applyFill="1" applyBorder="1" applyAlignment="1" applyProtection="1">
      <alignment horizontal="right"/>
    </xf>
    <xf numFmtId="0" fontId="64" fillId="13" borderId="72" xfId="9" applyFont="1" applyFill="1" applyBorder="1" applyAlignment="1" applyProtection="1">
      <alignment horizontal="right"/>
    </xf>
    <xf numFmtId="0" fontId="64" fillId="13" borderId="66" xfId="9" applyFont="1" applyFill="1" applyBorder="1" applyAlignment="1" applyProtection="1">
      <alignment horizontal="center" vertical="center"/>
    </xf>
    <xf numFmtId="0" fontId="64" fillId="13" borderId="80" xfId="9" applyFont="1" applyFill="1" applyBorder="1" applyAlignment="1" applyProtection="1">
      <alignment horizontal="center"/>
    </xf>
    <xf numFmtId="0" fontId="64" fillId="13" borderId="81" xfId="9" applyFont="1" applyFill="1" applyBorder="1" applyAlignment="1" applyProtection="1">
      <alignment horizontal="center"/>
    </xf>
    <xf numFmtId="0" fontId="64" fillId="13" borderId="82" xfId="9" applyFont="1" applyFill="1" applyBorder="1" applyAlignment="1" applyProtection="1">
      <alignment horizontal="center"/>
    </xf>
    <xf numFmtId="0" fontId="2" fillId="0" borderId="64" xfId="9" applyFont="1" applyBorder="1" applyAlignment="1" applyProtection="1">
      <alignment horizontal="left" vertical="center" wrapText="1"/>
    </xf>
    <xf numFmtId="0" fontId="2" fillId="0" borderId="72" xfId="9" applyFont="1" applyBorder="1" applyAlignment="1" applyProtection="1">
      <alignment horizontal="left" vertical="center" wrapText="1"/>
    </xf>
    <xf numFmtId="0" fontId="60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center" wrapText="1"/>
    </xf>
    <xf numFmtId="0" fontId="15" fillId="0" borderId="72" xfId="9" applyFont="1" applyBorder="1" applyAlignment="1" applyProtection="1">
      <alignment horizontal="left" vertical="center" wrapText="1"/>
    </xf>
    <xf numFmtId="0" fontId="15" fillId="0" borderId="101" xfId="3" applyFont="1" applyBorder="1" applyAlignment="1" applyProtection="1">
      <alignment horizontal="left"/>
      <protection locked="0"/>
    </xf>
    <xf numFmtId="0" fontId="15" fillId="0" borderId="64" xfId="3" applyFont="1" applyBorder="1" applyAlignment="1" applyProtection="1">
      <alignment horizontal="left"/>
      <protection locked="0"/>
    </xf>
    <xf numFmtId="0" fontId="15" fillId="0" borderId="72" xfId="3" applyFont="1" applyBorder="1" applyAlignment="1" applyProtection="1">
      <alignment horizontal="left"/>
      <protection locked="0"/>
    </xf>
    <xf numFmtId="0" fontId="73" fillId="0" borderId="0" xfId="3" applyFont="1" applyAlignment="1" applyProtection="1">
      <alignment horizontal="center"/>
    </xf>
    <xf numFmtId="0" fontId="37" fillId="13" borderId="96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37" fillId="13" borderId="98" xfId="3" applyFont="1" applyFill="1" applyBorder="1" applyAlignment="1" applyProtection="1">
      <alignment horizontal="center"/>
    </xf>
    <xf numFmtId="0" fontId="15" fillId="0" borderId="87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78" xfId="3" applyFont="1" applyBorder="1" applyAlignment="1" applyProtection="1">
      <alignment horizontal="center" vertical="center" wrapText="1"/>
    </xf>
    <xf numFmtId="0" fontId="15" fillId="0" borderId="76" xfId="3" applyFont="1" applyBorder="1" applyAlignment="1" applyProtection="1">
      <alignment horizontal="center" vertical="center" wrapText="1"/>
    </xf>
    <xf numFmtId="0" fontId="15" fillId="0" borderId="89" xfId="3" applyFont="1" applyBorder="1" applyAlignment="1" applyProtection="1">
      <alignment horizontal="center" vertical="center"/>
    </xf>
    <xf numFmtId="0" fontId="15" fillId="0" borderId="90" xfId="3" applyFont="1" applyBorder="1" applyAlignment="1" applyProtection="1">
      <alignment horizontal="center" vertical="center"/>
    </xf>
    <xf numFmtId="0" fontId="2" fillId="0" borderId="73" xfId="3" applyFont="1" applyBorder="1" applyAlignment="1" applyProtection="1">
      <alignment horizontal="left" vertical="top" wrapText="1"/>
    </xf>
    <xf numFmtId="0" fontId="37" fillId="13" borderId="99" xfId="3" applyFont="1" applyFill="1" applyBorder="1" applyAlignment="1" applyProtection="1">
      <alignment horizontal="center" vertical="top"/>
    </xf>
    <xf numFmtId="0" fontId="37" fillId="13" borderId="102" xfId="3" applyFont="1" applyFill="1" applyBorder="1" applyAlignment="1" applyProtection="1">
      <alignment horizontal="center" vertical="top"/>
    </xf>
    <xf numFmtId="0" fontId="2" fillId="0" borderId="109" xfId="3" applyFont="1" applyBorder="1" applyAlignment="1" applyProtection="1">
      <alignment horizontal="left" vertical="top" wrapText="1"/>
    </xf>
    <xf numFmtId="0" fontId="15" fillId="0" borderId="109" xfId="3" applyFont="1" applyBorder="1" applyAlignment="1" applyProtection="1">
      <alignment horizontal="left" vertical="top" wrapText="1"/>
    </xf>
    <xf numFmtId="0" fontId="37" fillId="13" borderId="96" xfId="3" applyFont="1" applyFill="1" applyBorder="1" applyAlignment="1" applyProtection="1">
      <alignment horizontal="center" vertical="top"/>
    </xf>
    <xf numFmtId="0" fontId="37" fillId="13" borderId="98" xfId="3" applyFont="1" applyFill="1" applyBorder="1" applyAlignment="1" applyProtection="1">
      <alignment horizontal="center" vertical="top"/>
    </xf>
    <xf numFmtId="0" fontId="71" fillId="13" borderId="100" xfId="3" applyFont="1" applyFill="1" applyBorder="1" applyAlignment="1" applyProtection="1">
      <alignment horizontal="center" vertical="top"/>
    </xf>
    <xf numFmtId="0" fontId="71" fillId="13" borderId="103" xfId="3" applyFont="1" applyFill="1" applyBorder="1" applyAlignment="1" applyProtection="1">
      <alignment horizontal="center" vertical="top"/>
    </xf>
    <xf numFmtId="0" fontId="77" fillId="0" borderId="0" xfId="3" applyFont="1" applyFill="1" applyBorder="1" applyAlignment="1" applyProtection="1">
      <alignment horizontal="center" vertical="center"/>
    </xf>
    <xf numFmtId="0" fontId="79" fillId="5" borderId="5" xfId="3" applyFont="1" applyFill="1" applyBorder="1" applyAlignment="1" applyProtection="1">
      <alignment horizontal="center"/>
    </xf>
    <xf numFmtId="0" fontId="79" fillId="5" borderId="6" xfId="3" applyFont="1" applyFill="1" applyBorder="1" applyAlignment="1" applyProtection="1">
      <alignment horizontal="center"/>
    </xf>
    <xf numFmtId="0" fontId="79" fillId="5" borderId="7" xfId="3" applyFont="1" applyFill="1" applyBorder="1" applyAlignment="1" applyProtection="1">
      <alignment horizontal="center"/>
    </xf>
    <xf numFmtId="0" fontId="77" fillId="0" borderId="68" xfId="3" applyFont="1" applyBorder="1" applyAlignment="1" applyProtection="1">
      <alignment horizontal="center" vertical="center"/>
    </xf>
    <xf numFmtId="0" fontId="15" fillId="0" borderId="88" xfId="3" applyFont="1" applyBorder="1" applyAlignment="1" applyProtection="1">
      <alignment horizontal="center" vertical="center" wrapText="1"/>
    </xf>
    <xf numFmtId="0" fontId="87" fillId="3" borderId="101" xfId="3" applyFont="1" applyFill="1" applyBorder="1" applyAlignment="1" applyProtection="1">
      <alignment horizontal="left" vertical="center"/>
    </xf>
    <xf numFmtId="0" fontId="87" fillId="3" borderId="64" xfId="3" applyFont="1" applyFill="1" applyBorder="1" applyAlignment="1" applyProtection="1">
      <alignment horizontal="left" vertical="center"/>
    </xf>
    <xf numFmtId="0" fontId="87" fillId="3" borderId="72" xfId="3" applyFont="1" applyFill="1" applyBorder="1" applyAlignment="1" applyProtection="1">
      <alignment horizontal="left" vertical="center"/>
    </xf>
    <xf numFmtId="0" fontId="2" fillId="0" borderId="101" xfId="3" applyFont="1" applyBorder="1" applyAlignment="1" applyProtection="1">
      <alignment horizontal="left"/>
      <protection locked="0"/>
    </xf>
    <xf numFmtId="0" fontId="15" fillId="0" borderId="73" xfId="3" applyFont="1" applyFill="1" applyBorder="1" applyAlignment="1" applyProtection="1">
      <alignment horizontal="left" vertical="top" wrapText="1"/>
    </xf>
    <xf numFmtId="0" fontId="2" fillId="0" borderId="169" xfId="3" applyFont="1" applyBorder="1" applyAlignment="1" applyProtection="1">
      <alignment horizontal="left" vertical="top" wrapText="1"/>
    </xf>
    <xf numFmtId="0" fontId="15" fillId="0" borderId="169" xfId="3" applyFont="1" applyBorder="1" applyAlignment="1" applyProtection="1">
      <alignment horizontal="left" vertical="top" wrapText="1"/>
    </xf>
    <xf numFmtId="0" fontId="77" fillId="0" borderId="5" xfId="3" applyFont="1" applyBorder="1" applyAlignment="1" applyProtection="1">
      <alignment horizontal="right" vertical="center" wrapText="1"/>
    </xf>
    <xf numFmtId="0" fontId="77" fillId="0" borderId="6" xfId="3" applyFont="1" applyBorder="1" applyAlignment="1" applyProtection="1">
      <alignment horizontal="right" vertical="center" wrapText="1"/>
    </xf>
    <xf numFmtId="0" fontId="77" fillId="0" borderId="7" xfId="3" applyFont="1" applyBorder="1" applyAlignment="1" applyProtection="1">
      <alignment horizontal="right" vertical="center" wrapText="1"/>
    </xf>
    <xf numFmtId="0" fontId="15" fillId="0" borderId="171" xfId="3" applyFont="1" applyBorder="1" applyAlignment="1" applyProtection="1">
      <alignment horizontal="left"/>
      <protection locked="0"/>
    </xf>
    <xf numFmtId="0" fontId="15" fillId="0" borderId="172" xfId="3" applyFont="1" applyBorder="1" applyAlignment="1" applyProtection="1">
      <alignment horizontal="left"/>
      <protection locked="0"/>
    </xf>
    <xf numFmtId="0" fontId="15" fillId="0" borderId="132" xfId="3" applyFont="1" applyBorder="1" applyAlignment="1" applyProtection="1">
      <alignment horizontal="left"/>
      <protection locked="0"/>
    </xf>
    <xf numFmtId="0" fontId="15" fillId="0" borderId="175" xfId="3" applyFont="1" applyBorder="1" applyAlignment="1" applyProtection="1">
      <alignment horizontal="left"/>
      <protection locked="0"/>
    </xf>
    <xf numFmtId="0" fontId="15" fillId="0" borderId="133" xfId="3" applyFont="1" applyBorder="1" applyAlignment="1" applyProtection="1">
      <alignment horizontal="left"/>
      <protection locked="0"/>
    </xf>
    <xf numFmtId="0" fontId="71" fillId="13" borderId="100" xfId="3" applyFont="1" applyFill="1" applyBorder="1" applyAlignment="1" applyProtection="1">
      <alignment horizontal="center"/>
    </xf>
    <xf numFmtId="0" fontId="71" fillId="13" borderId="63" xfId="3" applyFont="1" applyFill="1" applyBorder="1" applyAlignment="1" applyProtection="1">
      <alignment horizontal="center"/>
    </xf>
    <xf numFmtId="0" fontId="71" fillId="13" borderId="103" xfId="3" applyFont="1" applyFill="1" applyBorder="1" applyAlignment="1" applyProtection="1">
      <alignment horizontal="center"/>
    </xf>
    <xf numFmtId="0" fontId="87" fillId="3" borderId="101" xfId="3" applyFont="1" applyFill="1" applyBorder="1" applyAlignment="1" applyProtection="1">
      <alignment horizontal="left"/>
    </xf>
    <xf numFmtId="0" fontId="87" fillId="3" borderId="64" xfId="3" applyFont="1" applyFill="1" applyBorder="1" applyAlignment="1" applyProtection="1">
      <alignment horizontal="left"/>
    </xf>
    <xf numFmtId="0" fontId="87" fillId="3" borderId="72" xfId="3" applyFont="1" applyFill="1" applyBorder="1" applyAlignment="1" applyProtection="1">
      <alignment horizontal="left"/>
    </xf>
    <xf numFmtId="0" fontId="2" fillId="0" borderId="64" xfId="3" applyFont="1" applyBorder="1" applyAlignment="1" applyProtection="1">
      <alignment horizontal="left"/>
      <protection locked="0"/>
    </xf>
    <xf numFmtId="0" fontId="2" fillId="0" borderId="72" xfId="3" applyFont="1" applyBorder="1" applyAlignment="1" applyProtection="1">
      <alignment horizontal="left"/>
      <protection locked="0"/>
    </xf>
    <xf numFmtId="0" fontId="37" fillId="13" borderId="99" xfId="3" applyFont="1" applyFill="1" applyBorder="1" applyAlignment="1" applyProtection="1">
      <alignment horizontal="center"/>
    </xf>
    <xf numFmtId="0" fontId="37" fillId="13" borderId="0" xfId="3" applyFont="1" applyFill="1" applyBorder="1" applyAlignment="1" applyProtection="1">
      <alignment horizontal="center"/>
    </xf>
    <xf numFmtId="0" fontId="37" fillId="13" borderId="102" xfId="3" applyFont="1" applyFill="1" applyBorder="1" applyAlignment="1" applyProtection="1">
      <alignment horizontal="center"/>
    </xf>
    <xf numFmtId="0" fontId="15" fillId="0" borderId="124" xfId="3" applyFont="1" applyBorder="1" applyAlignment="1" applyProtection="1">
      <alignment horizontal="left"/>
      <protection locked="0"/>
    </xf>
    <xf numFmtId="0" fontId="2" fillId="0" borderId="101" xfId="3" applyFont="1" applyFill="1" applyBorder="1" applyAlignment="1" applyProtection="1">
      <alignment horizontal="left"/>
      <protection locked="0"/>
    </xf>
    <xf numFmtId="0" fontId="15" fillId="0" borderId="64" xfId="3" applyFont="1" applyFill="1" applyBorder="1" applyAlignment="1" applyProtection="1">
      <alignment horizontal="left"/>
      <protection locked="0"/>
    </xf>
    <xf numFmtId="0" fontId="15" fillId="0" borderId="72" xfId="3" applyFont="1" applyFill="1" applyBorder="1" applyAlignment="1" applyProtection="1">
      <alignment horizontal="left"/>
      <protection locked="0"/>
    </xf>
    <xf numFmtId="0" fontId="2" fillId="0" borderId="171" xfId="3" applyFont="1" applyFill="1" applyBorder="1" applyAlignment="1" applyProtection="1">
      <alignment horizontal="left"/>
      <protection locked="0"/>
    </xf>
    <xf numFmtId="0" fontId="15" fillId="0" borderId="124" xfId="3" applyFont="1" applyFill="1" applyBorder="1" applyAlignment="1" applyProtection="1">
      <alignment horizontal="left"/>
      <protection locked="0"/>
    </xf>
    <xf numFmtId="0" fontId="15" fillId="0" borderId="172" xfId="3" applyFont="1" applyFill="1" applyBorder="1" applyAlignment="1" applyProtection="1">
      <alignment horizontal="left"/>
      <protection locked="0"/>
    </xf>
    <xf numFmtId="0" fontId="2" fillId="0" borderId="132" xfId="3" applyFont="1" applyFill="1" applyBorder="1" applyAlignment="1" applyProtection="1">
      <alignment horizontal="left"/>
      <protection locked="0"/>
    </xf>
    <xf numFmtId="0" fontId="15" fillId="0" borderId="175" xfId="3" applyFont="1" applyFill="1" applyBorder="1" applyAlignment="1" applyProtection="1">
      <alignment horizontal="left"/>
      <protection locked="0"/>
    </xf>
    <xf numFmtId="0" fontId="15" fillId="0" borderId="133" xfId="3" applyFont="1" applyFill="1" applyBorder="1" applyAlignment="1" applyProtection="1">
      <alignment horizontal="left"/>
      <protection locked="0"/>
    </xf>
    <xf numFmtId="0" fontId="15" fillId="0" borderId="101" xfId="3" applyFont="1" applyFill="1" applyBorder="1" applyAlignment="1" applyProtection="1">
      <alignment horizontal="left"/>
      <protection locked="0"/>
    </xf>
    <xf numFmtId="0" fontId="37" fillId="13" borderId="105" xfId="3" applyFont="1" applyFill="1" applyBorder="1" applyAlignment="1" applyProtection="1">
      <alignment horizontal="center"/>
    </xf>
    <xf numFmtId="0" fontId="37" fillId="13" borderId="4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79" fillId="17" borderId="6" xfId="3" applyFont="1" applyFill="1" applyBorder="1" applyAlignment="1" applyProtection="1">
      <alignment horizontal="left" wrapText="1"/>
    </xf>
    <xf numFmtId="0" fontId="79" fillId="17" borderId="7" xfId="3" applyFont="1" applyFill="1" applyBorder="1" applyAlignment="1" applyProtection="1">
      <alignment horizontal="left" wrapText="1"/>
    </xf>
    <xf numFmtId="0" fontId="2" fillId="0" borderId="101" xfId="3" applyFont="1" applyBorder="1" applyAlignment="1" applyProtection="1">
      <alignment horizontal="left" vertical="center"/>
      <protection locked="0"/>
    </xf>
    <xf numFmtId="0" fontId="15" fillId="0" borderId="64" xfId="3" applyFont="1" applyBorder="1" applyAlignment="1" applyProtection="1">
      <alignment horizontal="left" vertical="center"/>
      <protection locked="0"/>
    </xf>
    <xf numFmtId="0" fontId="15" fillId="0" borderId="72" xfId="3" applyFont="1" applyBorder="1" applyAlignment="1" applyProtection="1">
      <alignment horizontal="left" vertical="center"/>
      <protection locked="0"/>
    </xf>
    <xf numFmtId="0" fontId="15" fillId="0" borderId="101" xfId="3" applyFont="1" applyBorder="1" applyAlignment="1" applyProtection="1">
      <alignment horizontal="left" vertical="center"/>
      <protection locked="0"/>
    </xf>
    <xf numFmtId="0" fontId="104" fillId="3" borderId="101" xfId="3" applyFont="1" applyFill="1" applyBorder="1" applyAlignment="1" applyProtection="1">
      <alignment horizontal="left" vertical="center"/>
    </xf>
    <xf numFmtId="0" fontId="104" fillId="3" borderId="64" xfId="3" applyFont="1" applyFill="1" applyBorder="1" applyAlignment="1" applyProtection="1">
      <alignment horizontal="left" vertical="center"/>
    </xf>
    <xf numFmtId="0" fontId="104" fillId="3" borderId="72" xfId="3" applyFont="1" applyFill="1" applyBorder="1" applyAlignment="1" applyProtection="1">
      <alignment horizontal="left" vertical="center"/>
    </xf>
    <xf numFmtId="0" fontId="37" fillId="13" borderId="85" xfId="3" applyFont="1" applyFill="1" applyBorder="1" applyAlignment="1" applyProtection="1">
      <alignment horizontal="center"/>
    </xf>
    <xf numFmtId="0" fontId="77" fillId="4" borderId="66" xfId="3" applyFont="1" applyFill="1" applyBorder="1" applyAlignment="1" applyProtection="1">
      <alignment horizontal="left" vertical="top" wrapText="1"/>
    </xf>
    <xf numFmtId="0" fontId="77" fillId="4" borderId="92" xfId="3" applyFont="1" applyFill="1" applyBorder="1" applyAlignment="1" applyProtection="1">
      <alignment horizontal="left" vertical="top" wrapText="1"/>
    </xf>
    <xf numFmtId="0" fontId="37" fillId="13" borderId="96" xfId="3" applyFont="1" applyFill="1" applyBorder="1" applyAlignment="1" applyProtection="1">
      <alignment horizontal="center" vertical="center"/>
    </xf>
    <xf numFmtId="0" fontId="37" fillId="13" borderId="97" xfId="3" applyFont="1" applyFill="1" applyBorder="1" applyAlignment="1" applyProtection="1">
      <alignment horizontal="center" vertical="center"/>
    </xf>
    <xf numFmtId="0" fontId="37" fillId="13" borderId="98" xfId="3" applyFont="1" applyFill="1" applyBorder="1" applyAlignment="1" applyProtection="1">
      <alignment horizontal="center" vertical="center"/>
    </xf>
    <xf numFmtId="0" fontId="15" fillId="0" borderId="16" xfId="3" applyFont="1" applyFill="1" applyBorder="1" applyAlignment="1" applyProtection="1">
      <alignment horizontal="left" vertical="center" wrapText="1"/>
    </xf>
    <xf numFmtId="0" fontId="15" fillId="0" borderId="17" xfId="3" applyFont="1" applyFill="1" applyBorder="1" applyAlignment="1" applyProtection="1">
      <alignment horizontal="left" vertical="center" wrapText="1"/>
    </xf>
    <xf numFmtId="0" fontId="72" fillId="0" borderId="101" xfId="3" applyFont="1" applyBorder="1" applyAlignment="1" applyProtection="1">
      <alignment horizontal="left"/>
      <protection locked="0"/>
    </xf>
    <xf numFmtId="0" fontId="72" fillId="0" borderId="72" xfId="3" applyFont="1" applyBorder="1" applyAlignment="1" applyProtection="1">
      <alignment horizontal="left"/>
      <protection locked="0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75" xfId="3" applyFont="1" applyFill="1" applyBorder="1" applyAlignment="1" applyProtection="1">
      <alignment horizontal="center" vertical="center" wrapText="1"/>
    </xf>
    <xf numFmtId="0" fontId="77" fillId="4" borderId="4" xfId="3" applyFont="1" applyFill="1" applyBorder="1" applyAlignment="1" applyProtection="1">
      <alignment horizontal="left" vertical="center" wrapText="1"/>
    </xf>
    <xf numFmtId="0" fontId="77" fillId="4" borderId="31" xfId="3" applyFont="1" applyFill="1" applyBorder="1" applyAlignment="1" applyProtection="1">
      <alignment horizontal="left" vertical="center" wrapText="1"/>
    </xf>
    <xf numFmtId="0" fontId="79" fillId="5" borderId="5" xfId="10" applyFont="1" applyFill="1" applyBorder="1" applyAlignment="1" applyProtection="1">
      <alignment horizontal="center"/>
    </xf>
    <xf numFmtId="0" fontId="79" fillId="5" borderId="6" xfId="10" applyFont="1" applyFill="1" applyBorder="1" applyAlignment="1" applyProtection="1">
      <alignment horizontal="center"/>
    </xf>
    <xf numFmtId="0" fontId="79" fillId="5" borderId="7" xfId="10" applyFont="1" applyFill="1" applyBorder="1" applyAlignment="1" applyProtection="1">
      <alignment horizontal="center"/>
    </xf>
    <xf numFmtId="0" fontId="77" fillId="0" borderId="116" xfId="10" applyFont="1" applyBorder="1" applyAlignment="1" applyProtection="1">
      <alignment horizontal="center" vertical="center"/>
    </xf>
    <xf numFmtId="0" fontId="77" fillId="0" borderId="66" xfId="10" applyFont="1" applyBorder="1" applyAlignment="1" applyProtection="1">
      <alignment horizontal="center" vertical="center"/>
    </xf>
    <xf numFmtId="0" fontId="2" fillId="0" borderId="101" xfId="10" applyFont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 vertical="center" wrapText="1"/>
    </xf>
    <xf numFmtId="0" fontId="2" fillId="0" borderId="72" xfId="10" applyFont="1" applyBorder="1" applyAlignment="1" applyProtection="1">
      <alignment horizontal="left" vertical="center" wrapText="1"/>
    </xf>
    <xf numFmtId="0" fontId="77" fillId="0" borderId="5" xfId="10" applyFont="1" applyBorder="1" applyAlignment="1" applyProtection="1">
      <alignment horizontal="right" vertical="center"/>
    </xf>
    <xf numFmtId="0" fontId="77" fillId="0" borderId="6" xfId="10" applyFont="1" applyBorder="1" applyAlignment="1" applyProtection="1">
      <alignment horizontal="right" vertical="center"/>
    </xf>
    <xf numFmtId="0" fontId="77" fillId="0" borderId="7" xfId="10" applyFont="1" applyBorder="1" applyAlignment="1" applyProtection="1">
      <alignment horizontal="right" vertical="center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188" fontId="2" fillId="0" borderId="71" xfId="1" applyNumberFormat="1" applyFont="1" applyFill="1" applyBorder="1" applyAlignment="1" applyProtection="1">
      <alignment horizontal="lef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77" fillId="19" borderId="65" xfId="10" applyFont="1" applyFill="1" applyBorder="1" applyAlignment="1" applyProtection="1">
      <alignment horizontal="center" vertical="center"/>
    </xf>
    <xf numFmtId="0" fontId="77" fillId="19" borderId="66" xfId="10" applyFont="1" applyFill="1" applyBorder="1" applyAlignment="1" applyProtection="1">
      <alignment horizontal="center" vertical="center"/>
    </xf>
    <xf numFmtId="0" fontId="77" fillId="19" borderId="92" xfId="10" applyFont="1" applyFill="1" applyBorder="1" applyAlignment="1" applyProtection="1">
      <alignment horizontal="center" vertical="center"/>
    </xf>
    <xf numFmtId="0" fontId="37" fillId="13" borderId="96" xfId="10" applyFont="1" applyFill="1" applyBorder="1" applyAlignment="1" applyProtection="1">
      <alignment horizontal="center" vertical="center" wrapText="1"/>
    </xf>
    <xf numFmtId="0" fontId="37" fillId="13" borderId="97" xfId="10" applyFont="1" applyFill="1" applyBorder="1" applyAlignment="1" applyProtection="1">
      <alignment horizontal="center" vertical="center" wrapText="1"/>
    </xf>
    <xf numFmtId="0" fontId="37" fillId="13" borderId="118" xfId="10" applyFont="1" applyFill="1" applyBorder="1" applyAlignment="1" applyProtection="1">
      <alignment horizontal="center" vertical="center" wrapText="1"/>
    </xf>
    <xf numFmtId="0" fontId="72" fillId="13" borderId="99" xfId="1" applyFont="1" applyFill="1" applyBorder="1" applyAlignment="1" applyProtection="1">
      <alignment horizontal="center"/>
    </xf>
    <xf numFmtId="0" fontId="72" fillId="13" borderId="0" xfId="1" applyFont="1" applyFill="1" applyBorder="1" applyAlignment="1" applyProtection="1">
      <alignment horizontal="center"/>
    </xf>
    <xf numFmtId="0" fontId="72" fillId="13" borderId="13" xfId="1" applyFont="1" applyFill="1" applyBorder="1" applyAlignment="1" applyProtection="1">
      <alignment horizontal="center"/>
    </xf>
    <xf numFmtId="188" fontId="89" fillId="0" borderId="70" xfId="10" applyNumberFormat="1" applyFont="1" applyBorder="1" applyAlignment="1" applyProtection="1">
      <alignment horizontal="center"/>
    </xf>
    <xf numFmtId="188" fontId="89" fillId="0" borderId="64" xfId="10" applyNumberFormat="1" applyFont="1" applyBorder="1" applyAlignment="1" applyProtection="1">
      <alignment horizontal="center"/>
    </xf>
    <xf numFmtId="188" fontId="89" fillId="0" borderId="71" xfId="10" applyNumberFormat="1" applyFont="1" applyBorder="1" applyAlignment="1" applyProtection="1">
      <alignment horizontal="center"/>
    </xf>
    <xf numFmtId="0" fontId="72" fillId="13" borderId="100" xfId="1" applyFont="1" applyFill="1" applyBorder="1" applyAlignment="1" applyProtection="1">
      <alignment horizontal="center"/>
    </xf>
    <xf numFmtId="0" fontId="72" fillId="13" borderId="63" xfId="1" applyFont="1" applyFill="1" applyBorder="1" applyAlignment="1" applyProtection="1">
      <alignment horizontal="center"/>
    </xf>
    <xf numFmtId="0" fontId="72" fillId="13" borderId="112" xfId="1" applyFont="1" applyFill="1" applyBorder="1" applyAlignment="1" applyProtection="1">
      <alignment horizontal="center"/>
    </xf>
    <xf numFmtId="188" fontId="2" fillId="0" borderId="100" xfId="1" applyNumberFormat="1" applyFont="1" applyFill="1" applyBorder="1" applyAlignment="1" applyProtection="1">
      <alignment horizontal="left"/>
      <protection locked="0"/>
    </xf>
    <xf numFmtId="188" fontId="2" fillId="0" borderId="63" xfId="1" applyNumberFormat="1" applyFont="1" applyFill="1" applyBorder="1" applyAlignment="1" applyProtection="1">
      <alignment horizontal="left"/>
      <protection locked="0"/>
    </xf>
    <xf numFmtId="188" fontId="2" fillId="0" borderId="112" xfId="1" applyNumberFormat="1" applyFont="1" applyFill="1" applyBorder="1" applyAlignment="1" applyProtection="1">
      <alignment horizontal="left"/>
      <protection locked="0"/>
    </xf>
    <xf numFmtId="0" fontId="37" fillId="13" borderId="96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center" wrapText="1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0" fontId="37" fillId="13" borderId="31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64" xfId="10" applyFont="1" applyBorder="1" applyAlignment="1" applyProtection="1">
      <alignment horizontal="left" vertical="center"/>
      <protection locked="0"/>
    </xf>
    <xf numFmtId="0" fontId="2" fillId="0" borderId="72" xfId="10" applyFont="1" applyBorder="1" applyAlignment="1" applyProtection="1">
      <alignment horizontal="left" vertical="center"/>
      <protection locked="0"/>
    </xf>
    <xf numFmtId="191" fontId="2" fillId="0" borderId="127" xfId="1" applyNumberFormat="1" applyFont="1" applyFill="1" applyBorder="1" applyAlignment="1" applyProtection="1">
      <alignment horizontal="center"/>
      <protection locked="0"/>
    </xf>
    <xf numFmtId="191" fontId="2" fillId="0" borderId="128" xfId="1" applyNumberFormat="1" applyFont="1" applyFill="1" applyBorder="1" applyAlignment="1" applyProtection="1">
      <alignment horizontal="center"/>
      <protection locked="0"/>
    </xf>
    <xf numFmtId="188" fontId="2" fillId="0" borderId="127" xfId="10" applyNumberFormat="1" applyFont="1" applyBorder="1" applyAlignment="1" applyProtection="1">
      <alignment horizontal="left" vertical="center"/>
      <protection locked="0"/>
    </xf>
    <xf numFmtId="188" fontId="2" fillId="0" borderId="129" xfId="10" applyNumberFormat="1" applyFont="1" applyBorder="1" applyAlignment="1" applyProtection="1">
      <alignment horizontal="left" vertical="center"/>
      <protection locked="0"/>
    </xf>
    <xf numFmtId="188" fontId="2" fillId="0" borderId="130" xfId="10" applyNumberFormat="1" applyFont="1" applyBorder="1" applyAlignment="1" applyProtection="1">
      <alignment horizontal="left" vertical="center"/>
      <protection locked="0"/>
    </xf>
    <xf numFmtId="0" fontId="72" fillId="13" borderId="103" xfId="1" applyFont="1" applyFill="1" applyBorder="1" applyAlignment="1" applyProtection="1">
      <alignment horizontal="center"/>
    </xf>
    <xf numFmtId="188" fontId="89" fillId="0" borderId="123" xfId="10" applyNumberFormat="1" applyFont="1" applyBorder="1" applyAlignment="1" applyProtection="1">
      <alignment horizontal="center"/>
    </xf>
    <xf numFmtId="188" fontId="89" fillId="0" borderId="124" xfId="10" applyNumberFormat="1" applyFont="1" applyBorder="1" applyAlignment="1" applyProtection="1">
      <alignment horizontal="center"/>
    </xf>
    <xf numFmtId="188" fontId="89" fillId="0" borderId="125" xfId="10" applyNumberFormat="1" applyFont="1" applyBorder="1" applyAlignment="1" applyProtection="1">
      <alignment horizont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7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64" fillId="13" borderId="77" xfId="10" applyFont="1" applyFill="1" applyBorder="1" applyAlignment="1" applyProtection="1">
      <alignment horizontal="center" vertical="center" wrapText="1"/>
    </xf>
    <xf numFmtId="0" fontId="64" fillId="13" borderId="98" xfId="10" applyFont="1" applyFill="1" applyBorder="1" applyAlignment="1" applyProtection="1">
      <alignment horizontal="center" vertical="center" wrapText="1"/>
    </xf>
    <xf numFmtId="0" fontId="37" fillId="13" borderId="73" xfId="10" applyFont="1" applyFill="1" applyBorder="1" applyAlignment="1" applyProtection="1">
      <alignment horizontal="center"/>
    </xf>
    <xf numFmtId="0" fontId="37" fillId="13" borderId="74" xfId="10" applyFont="1" applyFill="1" applyBorder="1" applyAlignment="1" applyProtection="1">
      <alignment horizontal="center"/>
    </xf>
    <xf numFmtId="191" fontId="2" fillId="0" borderId="132" xfId="1" applyNumberFormat="1" applyFont="1" applyFill="1" applyBorder="1" applyAlignment="1" applyProtection="1">
      <alignment horizontal="center"/>
      <protection locked="0"/>
    </xf>
    <xf numFmtId="191" fontId="2" fillId="0" borderId="133" xfId="1" applyNumberFormat="1" applyFont="1" applyFill="1" applyBorder="1" applyAlignment="1" applyProtection="1">
      <alignment horizontal="center"/>
      <protection locked="0"/>
    </xf>
    <xf numFmtId="188" fontId="2" fillId="0" borderId="134" xfId="10" applyNumberFormat="1" applyFont="1" applyBorder="1" applyAlignment="1" applyProtection="1">
      <alignment horizontal="left" vertical="center"/>
      <protection locked="0"/>
    </xf>
    <xf numFmtId="188" fontId="2" fillId="0" borderId="135" xfId="10" applyNumberFormat="1" applyFont="1" applyBorder="1" applyAlignment="1" applyProtection="1">
      <alignment horizontal="left" vertical="center"/>
      <protection locked="0"/>
    </xf>
    <xf numFmtId="188" fontId="2" fillId="0" borderId="136" xfId="10" applyNumberFormat="1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 vertical="center" wrapText="1"/>
      <protection locked="0"/>
    </xf>
    <xf numFmtId="0" fontId="2" fillId="0" borderId="64" xfId="10" applyFont="1" applyBorder="1" applyAlignment="1" applyProtection="1">
      <alignment horizontal="left" vertical="center" wrapText="1"/>
      <protection locked="0"/>
    </xf>
    <xf numFmtId="0" fontId="2" fillId="0" borderId="72" xfId="10" applyFont="1" applyBorder="1" applyAlignment="1" applyProtection="1">
      <alignment horizontal="left" vertical="center" wrapText="1"/>
      <protection locked="0"/>
    </xf>
    <xf numFmtId="2" fontId="120" fillId="11" borderId="70" xfId="10" applyNumberFormat="1" applyFont="1" applyFill="1" applyBorder="1" applyAlignment="1" applyProtection="1">
      <alignment horizontal="left" vertical="center"/>
      <protection locked="0"/>
    </xf>
    <xf numFmtId="2" fontId="120" fillId="11" borderId="72" xfId="10" applyNumberFormat="1" applyFont="1" applyFill="1" applyBorder="1" applyAlignment="1" applyProtection="1">
      <alignment horizontal="left" vertical="center"/>
      <protection locked="0"/>
    </xf>
    <xf numFmtId="0" fontId="72" fillId="13" borderId="12" xfId="10" applyFont="1" applyFill="1" applyBorder="1" applyAlignment="1" applyProtection="1">
      <alignment horizontal="center" vertical="center" wrapText="1"/>
    </xf>
    <xf numFmtId="0" fontId="72" fillId="13" borderId="102" xfId="10" applyFont="1" applyFill="1" applyBorder="1" applyAlignment="1" applyProtection="1">
      <alignment horizontal="center" vertical="center" wrapText="1"/>
    </xf>
    <xf numFmtId="0" fontId="86" fillId="3" borderId="101" xfId="10" applyFont="1" applyFill="1" applyBorder="1" applyAlignment="1" applyProtection="1">
      <alignment horizontal="left" vertical="center"/>
    </xf>
    <xf numFmtId="0" fontId="86" fillId="3" borderId="64" xfId="10" applyFont="1" applyFill="1" applyBorder="1" applyAlignment="1" applyProtection="1">
      <alignment horizontal="left" vertical="center"/>
    </xf>
    <xf numFmtId="0" fontId="86" fillId="3" borderId="72" xfId="10" applyFont="1" applyFill="1" applyBorder="1" applyAlignment="1" applyProtection="1">
      <alignment horizontal="left" vertical="center"/>
    </xf>
    <xf numFmtId="2" fontId="137" fillId="3" borderId="70" xfId="10" applyNumberFormat="1" applyFont="1" applyFill="1" applyBorder="1" applyAlignment="1" applyProtection="1">
      <alignment horizontal="left" vertical="center"/>
    </xf>
    <xf numFmtId="2" fontId="137" fillId="3" borderId="72" xfId="10" applyNumberFormat="1" applyFont="1" applyFill="1" applyBorder="1" applyAlignment="1" applyProtection="1">
      <alignment horizontal="left" vertical="center"/>
    </xf>
    <xf numFmtId="2" fontId="120" fillId="0" borderId="101" xfId="10" applyNumberFormat="1" applyFont="1" applyFill="1" applyBorder="1" applyAlignment="1" applyProtection="1">
      <alignment horizontal="left" vertical="center"/>
      <protection locked="0"/>
    </xf>
    <xf numFmtId="2" fontId="120" fillId="0" borderId="64" xfId="10" applyNumberFormat="1" applyFont="1" applyFill="1" applyBorder="1" applyAlignment="1" applyProtection="1">
      <alignment horizontal="left" vertical="center"/>
      <protection locked="0"/>
    </xf>
    <xf numFmtId="2" fontId="120" fillId="0" borderId="72" xfId="10" applyNumberFormat="1" applyFont="1" applyFill="1" applyBorder="1" applyAlignment="1" applyProtection="1">
      <alignment horizontal="left" vertical="center"/>
      <protection locked="0"/>
    </xf>
    <xf numFmtId="0" fontId="72" fillId="13" borderId="99" xfId="10" applyFont="1" applyFill="1" applyBorder="1" applyAlignment="1" applyProtection="1">
      <alignment horizontal="center"/>
    </xf>
    <xf numFmtId="0" fontId="72" fillId="13" borderId="0" xfId="10" applyFont="1" applyFill="1" applyBorder="1" applyAlignment="1" applyProtection="1">
      <alignment horizontal="center"/>
    </xf>
    <xf numFmtId="0" fontId="72" fillId="13" borderId="102" xfId="10" applyFont="1" applyFill="1" applyBorder="1" applyAlignment="1" applyProtection="1">
      <alignment horizontal="center"/>
    </xf>
    <xf numFmtId="0" fontId="62" fillId="13" borderId="63" xfId="10" applyFont="1" applyFill="1" applyBorder="1" applyAlignment="1" applyProtection="1">
      <alignment horizontal="center" vertical="center" wrapText="1"/>
    </xf>
    <xf numFmtId="0" fontId="62" fillId="13" borderId="103" xfId="10" applyFont="1" applyFill="1" applyBorder="1" applyAlignment="1" applyProtection="1">
      <alignment horizontal="center" vertical="center" wrapText="1"/>
    </xf>
    <xf numFmtId="0" fontId="137" fillId="3" borderId="101" xfId="10" applyFont="1" applyFill="1" applyBorder="1" applyAlignment="1" applyProtection="1">
      <alignment horizontal="left" vertical="center" wrapText="1"/>
    </xf>
    <xf numFmtId="0" fontId="137" fillId="3" borderId="64" xfId="10" applyFont="1" applyFill="1" applyBorder="1" applyAlignment="1" applyProtection="1">
      <alignment horizontal="left" vertical="center" wrapText="1"/>
    </xf>
    <xf numFmtId="0" fontId="137" fillId="3" borderId="72" xfId="10" applyFont="1" applyFill="1" applyBorder="1" applyAlignment="1" applyProtection="1">
      <alignment horizontal="left" vertical="center" wrapText="1"/>
    </xf>
    <xf numFmtId="0" fontId="2" fillId="0" borderId="101" xfId="10" applyFont="1" applyBorder="1" applyAlignment="1" applyProtection="1">
      <alignment horizontal="left" wrapText="1"/>
      <protection locked="0"/>
    </xf>
    <xf numFmtId="0" fontId="2" fillId="0" borderId="64" xfId="10" applyFont="1" applyBorder="1" applyAlignment="1" applyProtection="1">
      <alignment horizontal="left" wrapText="1"/>
      <protection locked="0"/>
    </xf>
    <xf numFmtId="0" fontId="2" fillId="0" borderId="72" xfId="10" applyFont="1" applyBorder="1" applyAlignment="1" applyProtection="1">
      <alignment horizontal="left" wrapText="1"/>
      <protection locked="0"/>
    </xf>
    <xf numFmtId="0" fontId="84" fillId="13" borderId="77" xfId="10" applyFont="1" applyFill="1" applyBorder="1" applyAlignment="1" applyProtection="1">
      <alignment horizontal="center" vertical="center" wrapText="1"/>
    </xf>
    <xf numFmtId="0" fontId="84" fillId="13" borderId="98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0" fontId="2" fillId="0" borderId="72" xfId="10" applyFont="1" applyBorder="1" applyAlignment="1" applyProtection="1">
      <alignment horizontal="left"/>
      <protection locked="0"/>
    </xf>
    <xf numFmtId="2" fontId="139" fillId="18" borderId="70" xfId="10" applyNumberFormat="1" applyFont="1" applyFill="1" applyBorder="1" applyAlignment="1" applyProtection="1">
      <alignment horizontal="left"/>
    </xf>
    <xf numFmtId="2" fontId="139" fillId="18" borderId="72" xfId="10" applyNumberFormat="1" applyFont="1" applyFill="1" applyBorder="1" applyAlignment="1" applyProtection="1">
      <alignment horizontal="left"/>
    </xf>
    <xf numFmtId="2" fontId="120" fillId="0" borderId="101" xfId="10" applyNumberFormat="1" applyFont="1" applyFill="1" applyBorder="1" applyAlignment="1" applyProtection="1">
      <alignment horizontal="left" vertical="center" wrapText="1"/>
      <protection locked="0"/>
    </xf>
    <xf numFmtId="2" fontId="120" fillId="0" borderId="72" xfId="10" applyNumberFormat="1" applyFont="1" applyFill="1" applyBorder="1" applyAlignment="1" applyProtection="1">
      <alignment horizontal="left" vertical="center" wrapText="1"/>
      <protection locked="0"/>
    </xf>
    <xf numFmtId="49" fontId="86" fillId="3" borderId="101" xfId="2" applyNumberFormat="1" applyFont="1" applyFill="1" applyBorder="1" applyAlignment="1" applyProtection="1">
      <alignment horizontal="left"/>
    </xf>
    <xf numFmtId="49" fontId="86" fillId="3" borderId="72" xfId="2" applyNumberFormat="1" applyFont="1" applyFill="1" applyBorder="1" applyAlignment="1" applyProtection="1">
      <alignment horizontal="left"/>
    </xf>
    <xf numFmtId="2" fontId="138" fillId="3" borderId="70" xfId="10" applyNumberFormat="1" applyFont="1" applyFill="1" applyBorder="1" applyAlignment="1" applyProtection="1">
      <alignment horizontal="left"/>
    </xf>
    <xf numFmtId="2" fontId="138" fillId="3" borderId="72" xfId="10" applyNumberFormat="1" applyFont="1" applyFill="1" applyBorder="1" applyAlignment="1" applyProtection="1">
      <alignment horizontal="left"/>
    </xf>
    <xf numFmtId="0" fontId="137" fillId="3" borderId="101" xfId="10" applyFont="1" applyFill="1" applyBorder="1" applyAlignment="1" applyProtection="1">
      <alignment horizontal="left" wrapText="1"/>
    </xf>
    <xf numFmtId="0" fontId="137" fillId="3" borderId="72" xfId="10" applyFont="1" applyFill="1" applyBorder="1" applyAlignment="1" applyProtection="1">
      <alignment horizontal="left" wrapText="1"/>
    </xf>
    <xf numFmtId="0" fontId="37" fillId="13" borderId="105" xfId="10" applyFont="1" applyFill="1" applyBorder="1" applyAlignment="1" applyProtection="1">
      <alignment horizontal="center"/>
    </xf>
    <xf numFmtId="0" fontId="37" fillId="13" borderId="4" xfId="10" applyFont="1" applyFill="1" applyBorder="1" applyAlignment="1" applyProtection="1">
      <alignment horizontal="center"/>
    </xf>
    <xf numFmtId="0" fontId="37" fillId="13" borderId="106" xfId="10" applyFont="1" applyFill="1" applyBorder="1" applyAlignment="1" applyProtection="1">
      <alignment horizontal="center"/>
    </xf>
    <xf numFmtId="0" fontId="86" fillId="3" borderId="101" xfId="10" applyFont="1" applyFill="1" applyBorder="1" applyAlignment="1" applyProtection="1">
      <alignment horizontal="left" vertical="center" wrapText="1"/>
    </xf>
    <xf numFmtId="0" fontId="86" fillId="3" borderId="64" xfId="10" applyFont="1" applyFill="1" applyBorder="1" applyAlignment="1" applyProtection="1">
      <alignment horizontal="left" vertical="center" wrapText="1"/>
    </xf>
    <xf numFmtId="0" fontId="86" fillId="3" borderId="72" xfId="10" applyFont="1" applyFill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/>
      <protection locked="0"/>
    </xf>
    <xf numFmtId="2" fontId="120" fillId="11" borderId="70" xfId="10" applyNumberFormat="1" applyFont="1" applyFill="1" applyBorder="1" applyAlignment="1" applyProtection="1">
      <alignment horizontal="left"/>
      <protection locked="0"/>
    </xf>
    <xf numFmtId="2" fontId="120" fillId="11" borderId="72" xfId="10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top"/>
    </xf>
    <xf numFmtId="0" fontId="37" fillId="13" borderId="4" xfId="10" applyFont="1" applyFill="1" applyBorder="1" applyAlignment="1" applyProtection="1">
      <alignment horizontal="center" vertical="top"/>
    </xf>
    <xf numFmtId="0" fontId="37" fillId="13" borderId="106" xfId="10" applyFont="1" applyFill="1" applyBorder="1" applyAlignment="1" applyProtection="1">
      <alignment horizontal="center" vertical="top"/>
    </xf>
    <xf numFmtId="0" fontId="37" fillId="13" borderId="99" xfId="10" applyFont="1" applyFill="1" applyBorder="1" applyAlignment="1" applyProtection="1">
      <alignment horizontal="center" vertical="top"/>
    </xf>
    <xf numFmtId="0" fontId="37" fillId="13" borderId="0" xfId="10" applyFont="1" applyFill="1" applyBorder="1" applyAlignment="1" applyProtection="1">
      <alignment horizontal="center" vertical="top"/>
    </xf>
    <xf numFmtId="0" fontId="37" fillId="13" borderId="102" xfId="10" applyFont="1" applyFill="1" applyBorder="1" applyAlignment="1" applyProtection="1">
      <alignment horizontal="center" vertical="top"/>
    </xf>
    <xf numFmtId="0" fontId="37" fillId="13" borderId="100" xfId="10" applyFont="1" applyFill="1" applyBorder="1" applyAlignment="1" applyProtection="1">
      <alignment horizontal="center" vertical="top"/>
    </xf>
    <xf numFmtId="0" fontId="37" fillId="13" borderId="63" xfId="10" applyFont="1" applyFill="1" applyBorder="1" applyAlignment="1" applyProtection="1">
      <alignment horizontal="center" vertical="top"/>
    </xf>
    <xf numFmtId="0" fontId="37" fillId="13" borderId="103" xfId="10" applyFont="1" applyFill="1" applyBorder="1" applyAlignment="1" applyProtection="1">
      <alignment horizontal="center" vertical="top"/>
    </xf>
    <xf numFmtId="2" fontId="141" fillId="3" borderId="70" xfId="10" applyNumberFormat="1" applyFont="1" applyFill="1" applyBorder="1" applyAlignment="1" applyProtection="1">
      <alignment horizontal="left" vertical="center"/>
    </xf>
    <xf numFmtId="2" fontId="141" fillId="3" borderId="72" xfId="10" applyNumberFormat="1" applyFont="1" applyFill="1" applyBorder="1" applyAlignment="1" applyProtection="1">
      <alignment horizontal="left" vertical="center"/>
    </xf>
    <xf numFmtId="2" fontId="120" fillId="0" borderId="70" xfId="10" applyNumberFormat="1" applyFont="1" applyFill="1" applyBorder="1" applyAlignment="1" applyProtection="1">
      <alignment horizontal="left" vertical="center"/>
      <protection locked="0"/>
    </xf>
    <xf numFmtId="0" fontId="137" fillId="3" borderId="70" xfId="10" applyFont="1" applyFill="1" applyBorder="1" applyAlignment="1" applyProtection="1">
      <alignment horizontal="left" vertical="center" wrapText="1"/>
    </xf>
    <xf numFmtId="2" fontId="120" fillId="0" borderId="70" xfId="10" applyNumberFormat="1" applyFont="1" applyFill="1" applyBorder="1" applyAlignment="1" applyProtection="1">
      <alignment horizontal="left"/>
      <protection locked="0"/>
    </xf>
    <xf numFmtId="2" fontId="120" fillId="0" borderId="64" xfId="10" applyNumberFormat="1" applyFont="1" applyFill="1" applyBorder="1" applyAlignment="1" applyProtection="1">
      <alignment horizontal="left"/>
      <protection locked="0"/>
    </xf>
    <xf numFmtId="2" fontId="88" fillId="3" borderId="70" xfId="10" applyNumberFormat="1" applyFont="1" applyFill="1" applyBorder="1" applyAlignment="1" applyProtection="1">
      <alignment horizontal="left" vertical="center"/>
    </xf>
    <xf numFmtId="2" fontId="88" fillId="3" borderId="72" xfId="10" applyNumberFormat="1" applyFont="1" applyFill="1" applyBorder="1" applyAlignment="1" applyProtection="1">
      <alignment horizontal="left" vertical="center"/>
    </xf>
    <xf numFmtId="2" fontId="89" fillId="18" borderId="70" xfId="10" applyNumberFormat="1" applyFont="1" applyFill="1" applyBorder="1" applyAlignment="1" applyProtection="1">
      <alignment horizontal="left" vertical="center"/>
    </xf>
    <xf numFmtId="2" fontId="89" fillId="18" borderId="72" xfId="10" applyNumberFormat="1" applyFont="1" applyFill="1" applyBorder="1" applyAlignment="1" applyProtection="1">
      <alignment horizontal="left" vertical="center"/>
    </xf>
    <xf numFmtId="0" fontId="37" fillId="13" borderId="118" xfId="10" applyFont="1" applyFill="1" applyBorder="1" applyAlignment="1" applyProtection="1">
      <alignment horizontal="center"/>
    </xf>
    <xf numFmtId="0" fontId="2" fillId="0" borderId="101" xfId="10" applyFont="1" applyFill="1" applyBorder="1" applyAlignment="1" applyProtection="1">
      <alignment horizontal="center"/>
      <protection locked="0"/>
    </xf>
    <xf numFmtId="0" fontId="2" fillId="0" borderId="71" xfId="10" applyFont="1" applyFill="1" applyBorder="1" applyAlignment="1" applyProtection="1">
      <alignment horizontal="center"/>
      <protection locked="0"/>
    </xf>
    <xf numFmtId="0" fontId="72" fillId="13" borderId="12" xfId="10" applyFont="1" applyFill="1" applyBorder="1" applyAlignment="1" applyProtection="1">
      <alignment horizontal="center"/>
    </xf>
    <xf numFmtId="0" fontId="37" fillId="13" borderId="77" xfId="10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/>
    </xf>
    <xf numFmtId="2" fontId="61" fillId="12" borderId="137" xfId="10" applyNumberFormat="1" applyFont="1" applyFill="1" applyBorder="1" applyAlignment="1" applyProtection="1">
      <alignment horizontal="center"/>
    </xf>
    <xf numFmtId="2" fontId="61" fillId="12" borderId="82" xfId="10" applyNumberFormat="1" applyFont="1" applyFill="1" applyBorder="1" applyAlignment="1" applyProtection="1">
      <alignment horizontal="center"/>
    </xf>
    <xf numFmtId="0" fontId="77" fillId="19" borderId="3" xfId="10" applyFont="1" applyFill="1" applyBorder="1" applyAlignment="1" applyProtection="1">
      <alignment horizontal="center" vertical="center"/>
    </xf>
    <xf numFmtId="0" fontId="77" fillId="19" borderId="4" xfId="10" applyFont="1" applyFill="1" applyBorder="1" applyAlignment="1" applyProtection="1">
      <alignment horizontal="center" vertical="center"/>
    </xf>
    <xf numFmtId="0" fontId="77" fillId="19" borderId="31" xfId="10" applyFont="1" applyFill="1" applyBorder="1" applyAlignment="1" applyProtection="1">
      <alignment horizontal="center" vertical="center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horizontal="left" vertical="center" wrapText="1"/>
    </xf>
    <xf numFmtId="0" fontId="37" fillId="13" borderId="63" xfId="10" applyFont="1" applyFill="1" applyBorder="1" applyAlignment="1" applyProtection="1">
      <alignment horizontal="left" vertical="center" wrapText="1"/>
    </xf>
    <xf numFmtId="0" fontId="37" fillId="13" borderId="103" xfId="10" applyFont="1" applyFill="1" applyBorder="1" applyAlignment="1" applyProtection="1">
      <alignment horizontal="left" vertical="center" wrapText="1"/>
    </xf>
    <xf numFmtId="0" fontId="77" fillId="0" borderId="68" xfId="10" applyFont="1" applyBorder="1" applyAlignment="1" applyProtection="1">
      <alignment horizontal="center" vertical="center"/>
    </xf>
    <xf numFmtId="0" fontId="2" fillId="0" borderId="85" xfId="10" applyFont="1" applyBorder="1" applyAlignment="1" applyProtection="1">
      <alignment horizontal="left" vertical="top" wrapText="1"/>
    </xf>
    <xf numFmtId="0" fontId="2" fillId="0" borderId="87" xfId="10" applyFont="1" applyBorder="1" applyAlignment="1" applyProtection="1">
      <alignment horizontal="center" vertical="center"/>
    </xf>
    <xf numFmtId="0" fontId="2" fillId="0" borderId="91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left" vertical="top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4" xfId="10" applyFont="1" applyBorder="1" applyAlignment="1" applyProtection="1">
      <alignment horizontal="center" vertical="center" wrapText="1"/>
    </xf>
    <xf numFmtId="0" fontId="2" fillId="0" borderId="83" xfId="10" applyFont="1" applyBorder="1" applyAlignment="1" applyProtection="1">
      <alignment horizontal="left" vertical="top" wrapText="1"/>
    </xf>
    <xf numFmtId="0" fontId="79" fillId="17" borderId="5" xfId="10" applyFont="1" applyFill="1" applyBorder="1" applyAlignment="1" applyProtection="1">
      <alignment horizontal="left" wrapText="1"/>
    </xf>
    <xf numFmtId="0" fontId="79" fillId="17" borderId="6" xfId="10" applyFont="1" applyFill="1" applyBorder="1" applyAlignment="1" applyProtection="1">
      <alignment horizontal="left" wrapText="1"/>
    </xf>
    <xf numFmtId="0" fontId="79" fillId="17" borderId="7" xfId="10" applyFont="1" applyFill="1" applyBorder="1" applyAlignment="1" applyProtection="1">
      <alignment horizontal="left" wrapText="1"/>
    </xf>
    <xf numFmtId="0" fontId="144" fillId="17" borderId="5" xfId="10" applyFont="1" applyFill="1" applyBorder="1" applyAlignment="1" applyProtection="1">
      <alignment horizontal="left" vertical="top" wrapText="1"/>
    </xf>
    <xf numFmtId="0" fontId="144" fillId="17" borderId="6" xfId="10" applyFont="1" applyFill="1" applyBorder="1" applyAlignment="1" applyProtection="1">
      <alignment horizontal="left" vertical="top" wrapText="1"/>
    </xf>
    <xf numFmtId="0" fontId="144" fillId="17" borderId="7" xfId="10" applyFont="1" applyFill="1" applyBorder="1" applyAlignment="1" applyProtection="1">
      <alignment horizontal="left" vertical="top" wrapText="1"/>
    </xf>
    <xf numFmtId="0" fontId="2" fillId="0" borderId="101" xfId="10" applyFont="1" applyFill="1" applyBorder="1" applyAlignment="1" applyProtection="1">
      <alignment horizontal="left"/>
      <protection locked="0"/>
    </xf>
    <xf numFmtId="0" fontId="2" fillId="0" borderId="72" xfId="10" applyFont="1" applyFill="1" applyBorder="1" applyAlignment="1" applyProtection="1">
      <alignment horizontal="left"/>
      <protection locked="0"/>
    </xf>
    <xf numFmtId="0" fontId="2" fillId="0" borderId="64" xfId="10" applyFont="1" applyFill="1" applyBorder="1" applyAlignment="1" applyProtection="1">
      <alignment horizontal="left"/>
      <protection locked="0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144" fillId="17" borderId="5" xfId="10" applyFont="1" applyFill="1" applyBorder="1" applyAlignment="1" applyProtection="1">
      <alignment horizontal="left" vertical="center" wrapText="1"/>
    </xf>
    <xf numFmtId="0" fontId="144" fillId="17" borderId="6" xfId="10" applyFont="1" applyFill="1" applyBorder="1" applyAlignment="1" applyProtection="1">
      <alignment horizontal="left" vertical="center" wrapText="1"/>
    </xf>
    <xf numFmtId="0" fontId="144" fillId="17" borderId="7" xfId="10" applyFont="1" applyFill="1" applyBorder="1" applyAlignment="1" applyProtection="1">
      <alignment horizontal="left" vertical="center" wrapText="1"/>
    </xf>
    <xf numFmtId="0" fontId="144" fillId="17" borderId="5" xfId="10" applyFont="1" applyFill="1" applyBorder="1" applyAlignment="1" applyProtection="1">
      <alignment horizontal="left" wrapText="1"/>
    </xf>
    <xf numFmtId="0" fontId="144" fillId="17" borderId="6" xfId="10" applyFont="1" applyFill="1" applyBorder="1" applyAlignment="1" applyProtection="1">
      <alignment horizontal="left" wrapText="1"/>
    </xf>
    <xf numFmtId="0" fontId="144" fillId="17" borderId="7" xfId="10" applyFont="1" applyFill="1" applyBorder="1" applyAlignment="1" applyProtection="1">
      <alignment horizontal="left" wrapText="1"/>
    </xf>
    <xf numFmtId="0" fontId="61" fillId="13" borderId="99" xfId="10" applyFont="1" applyFill="1" applyBorder="1" applyAlignment="1" applyProtection="1">
      <alignment horizontal="center"/>
    </xf>
    <xf numFmtId="0" fontId="61" fillId="13" borderId="0" xfId="10" applyFont="1" applyFill="1" applyBorder="1" applyAlignment="1" applyProtection="1">
      <alignment horizontal="center"/>
    </xf>
    <xf numFmtId="0" fontId="111" fillId="0" borderId="0" xfId="10" applyFont="1" applyAlignment="1" applyProtection="1">
      <alignment horizontal="left" vertical="top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3" xfId="10" applyFont="1" applyFill="1" applyBorder="1" applyAlignment="1" applyProtection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top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</cellXfs>
  <cellStyles count="11">
    <cellStyle name="Normal 2" xfId="2"/>
    <cellStyle name="Normal 3" xfId="3"/>
    <cellStyle name="Normal 3 2" xfId="10"/>
    <cellStyle name="Normal 4" xfId="4"/>
    <cellStyle name="Normal 4 2" xfId="5"/>
    <cellStyle name="Normal 5" xfId="6"/>
    <cellStyle name="Normal 6" xfId="7"/>
    <cellStyle name="Normal 7" xfId="8"/>
    <cellStyle name="ปกติ" xfId="0" builtinId="0"/>
    <cellStyle name="ปกติ 2" xfId="1"/>
    <cellStyle name="ปกติ 3" xfId="9"/>
  </cellStyles>
  <dxfs count="38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B$21" lockText="1" noThreeD="1"/>
</file>

<file path=xl/ctrlProps/ctrlProp10.xml><?xml version="1.0" encoding="utf-8"?>
<formControlPr xmlns="http://schemas.microsoft.com/office/spreadsheetml/2009/9/main" objectType="CheckBox" fmlaLink="$AQ$21" lockText="1" noThreeD="1"/>
</file>

<file path=xl/ctrlProps/ctrlProp11.xml><?xml version="1.0" encoding="utf-8"?>
<formControlPr xmlns="http://schemas.microsoft.com/office/spreadsheetml/2009/9/main" objectType="CheckBox" checked="Checked" fmlaLink="$AR$21" lockText="1" noThreeD="1"/>
</file>

<file path=xl/ctrlProps/ctrlProp12.xml><?xml version="1.0" encoding="utf-8"?>
<formControlPr xmlns="http://schemas.microsoft.com/office/spreadsheetml/2009/9/main" objectType="CheckBox" checked="Checked" fmlaLink="$AJ$21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96" fmlaRange="$W$8:$W$14" noThreeD="1" sel="6" val="0"/>
</file>

<file path=xl/ctrlProps/ctrlProp16.xml><?xml version="1.0" encoding="utf-8"?>
<formControlPr xmlns="http://schemas.microsoft.com/office/spreadsheetml/2009/9/main" objectType="Drop" dropStyle="combo" dx="16" fmlaLink="$F$97" fmlaRange="$W$8:$W$14" noThreeD="1" sel="5" val="0"/>
</file>

<file path=xl/ctrlProps/ctrlProp17.xml><?xml version="1.0" encoding="utf-8"?>
<formControlPr xmlns="http://schemas.microsoft.com/office/spreadsheetml/2009/9/main" objectType="Drop" dropStyle="combo" dx="16" fmlaLink="$F$98" fmlaRange="$W$8:$W$14" noThreeD="1" sel="5" val="0"/>
</file>

<file path=xl/ctrlProps/ctrlProp18.xml><?xml version="1.0" encoding="utf-8"?>
<formControlPr xmlns="http://schemas.microsoft.com/office/spreadsheetml/2009/9/main" objectType="Drop" dropStyle="combo" dx="16" fmlaLink="$F$99" fmlaRange="$W$8:$W$14" noThreeD="1" sel="7" val="0"/>
</file>

<file path=xl/ctrlProps/ctrlProp19.xml><?xml version="1.0" encoding="utf-8"?>
<formControlPr xmlns="http://schemas.microsoft.com/office/spreadsheetml/2009/9/main" objectType="Drop" dropStyle="combo" dx="16" fmlaLink="$F$100" fmlaRange="$W$8:$W$14" noThreeD="1" sel="5" val="0"/>
</file>

<file path=xl/ctrlProps/ctrlProp2.xml><?xml version="1.0" encoding="utf-8"?>
<formControlPr xmlns="http://schemas.microsoft.com/office/spreadsheetml/2009/9/main" objectType="CheckBox" checked="Checked" fmlaLink="$AC$21" lockText="1" noThreeD="1"/>
</file>

<file path=xl/ctrlProps/ctrlProp20.xml><?xml version="1.0" encoding="utf-8"?>
<formControlPr xmlns="http://schemas.microsoft.com/office/spreadsheetml/2009/9/main" objectType="Drop" dropStyle="combo" dx="16" fmlaLink="$F$102" fmlaRange="$W$8:$W$14" noThreeD="1" sel="5" val="0"/>
</file>

<file path=xl/ctrlProps/ctrlProp21.xml><?xml version="1.0" encoding="utf-8"?>
<formControlPr xmlns="http://schemas.microsoft.com/office/spreadsheetml/2009/9/main" objectType="Drop" dropStyle="combo" dx="16" fmlaLink="$F$103" fmlaRange="$W$8:$W$14" noThreeD="1" sel="5" val="0"/>
</file>

<file path=xl/ctrlProps/ctrlProp22.xml><?xml version="1.0" encoding="utf-8"?>
<formControlPr xmlns="http://schemas.microsoft.com/office/spreadsheetml/2009/9/main" objectType="Drop" dropStyle="combo" dx="16" fmlaLink="$F$104" fmlaRange="$W$8:$W$14" noThreeD="1" sel="5" val="0"/>
</file>

<file path=xl/ctrlProps/ctrlProp23.xml><?xml version="1.0" encoding="utf-8"?>
<formControlPr xmlns="http://schemas.microsoft.com/office/spreadsheetml/2009/9/main" objectType="Drop" dropStyle="combo" dx="16" fmlaLink="$F$105" fmlaRange="$W$8:$W$14" noThreeD="1" sel="5" val="0"/>
</file>

<file path=xl/ctrlProps/ctrlProp24.xml><?xml version="1.0" encoding="utf-8"?>
<formControlPr xmlns="http://schemas.microsoft.com/office/spreadsheetml/2009/9/main" objectType="Drop" dropStyle="combo" dx="16" fmlaLink="$F$106" fmlaRange="$W$8:$W$14" noThreeD="1" sel="6" val="0"/>
</file>

<file path=xl/ctrlProps/ctrlProp25.xml><?xml version="1.0" encoding="utf-8"?>
<formControlPr xmlns="http://schemas.microsoft.com/office/spreadsheetml/2009/9/main" objectType="Drop" dropStyle="combo" dx="16" fmlaLink="$H$96" fmlaRange="$W$8:$W$14" noThreeD="1" sel="6" val="0"/>
</file>

<file path=xl/ctrlProps/ctrlProp26.xml><?xml version="1.0" encoding="utf-8"?>
<formControlPr xmlns="http://schemas.microsoft.com/office/spreadsheetml/2009/9/main" objectType="Drop" dropStyle="combo" dx="16" fmlaLink="$H$97" fmlaRange="$W$8:$W$14" noThreeD="1" sel="5" val="0"/>
</file>

<file path=xl/ctrlProps/ctrlProp27.xml><?xml version="1.0" encoding="utf-8"?>
<formControlPr xmlns="http://schemas.microsoft.com/office/spreadsheetml/2009/9/main" objectType="Drop" dropStyle="combo" dx="16" fmlaLink="$H$98" fmlaRange="$W$8:$W$14" noThreeD="1" sel="5" val="0"/>
</file>

<file path=xl/ctrlProps/ctrlProp28.xml><?xml version="1.0" encoding="utf-8"?>
<formControlPr xmlns="http://schemas.microsoft.com/office/spreadsheetml/2009/9/main" objectType="Drop" dropStyle="combo" dx="16" fmlaLink="$H$99" fmlaRange="$W$8:$W$14" noThreeD="1" sel="7" val="0"/>
</file>

<file path=xl/ctrlProps/ctrlProp29.xml><?xml version="1.0" encoding="utf-8"?>
<formControlPr xmlns="http://schemas.microsoft.com/office/spreadsheetml/2009/9/main" objectType="Drop" dropStyle="combo" dx="16" fmlaLink="$H$100" fmlaRange="$W$8:$W$14" noThreeD="1" sel="5" val="0"/>
</file>

<file path=xl/ctrlProps/ctrlProp3.xml><?xml version="1.0" encoding="utf-8"?>
<formControlPr xmlns="http://schemas.microsoft.com/office/spreadsheetml/2009/9/main" objectType="CheckBox" checked="Checked" fmlaLink="$AD$21" lockText="1" noThreeD="1"/>
</file>

<file path=xl/ctrlProps/ctrlProp30.xml><?xml version="1.0" encoding="utf-8"?>
<formControlPr xmlns="http://schemas.microsoft.com/office/spreadsheetml/2009/9/main" objectType="Drop" dropStyle="combo" dx="16" fmlaLink="$H$102" fmlaRange="$W$8:$W$14" noThreeD="1" sel="5" val="0"/>
</file>

<file path=xl/ctrlProps/ctrlProp31.xml><?xml version="1.0" encoding="utf-8"?>
<formControlPr xmlns="http://schemas.microsoft.com/office/spreadsheetml/2009/9/main" objectType="Drop" dropStyle="combo" dx="16" fmlaLink="$H$103" fmlaRange="$W$8:$W$14" noThreeD="1" sel="5" val="0"/>
</file>

<file path=xl/ctrlProps/ctrlProp32.xml><?xml version="1.0" encoding="utf-8"?>
<formControlPr xmlns="http://schemas.microsoft.com/office/spreadsheetml/2009/9/main" objectType="Drop" dropStyle="combo" dx="16" fmlaLink="$H$104" fmlaRange="$W$8:$W$14" noThreeD="1" sel="5" val="0"/>
</file>

<file path=xl/ctrlProps/ctrlProp33.xml><?xml version="1.0" encoding="utf-8"?>
<formControlPr xmlns="http://schemas.microsoft.com/office/spreadsheetml/2009/9/main" objectType="Drop" dropStyle="combo" dx="16" fmlaLink="$H$105" fmlaRange="$W$8:$W$14" noThreeD="1" sel="5" val="0"/>
</file>

<file path=xl/ctrlProps/ctrlProp34.xml><?xml version="1.0" encoding="utf-8"?>
<formControlPr xmlns="http://schemas.microsoft.com/office/spreadsheetml/2009/9/main" objectType="Drop" dropStyle="combo" dx="16" fmlaLink="$H$106" fmlaRange="$W$8:$W$14" noThreeD="1" sel="6" val="0"/>
</file>

<file path=xl/ctrlProps/ctrlProp35.xml><?xml version="1.0" encoding="utf-8"?>
<formControlPr xmlns="http://schemas.microsoft.com/office/spreadsheetml/2009/9/main" objectType="Drop" dropStyle="combo" dx="16" fmlaLink="$F$108" fmlaRange="$W$8:$W$14" noThreeD="1" val="0"/>
</file>

<file path=xl/ctrlProps/ctrlProp36.xml><?xml version="1.0" encoding="utf-8"?>
<formControlPr xmlns="http://schemas.microsoft.com/office/spreadsheetml/2009/9/main" objectType="Drop" dropStyle="combo" dx="16" fmlaLink="$F$109" fmlaRange="$W$8:$W$14" noThreeD="1" val="0"/>
</file>

<file path=xl/ctrlProps/ctrlProp37.xml><?xml version="1.0" encoding="utf-8"?>
<formControlPr xmlns="http://schemas.microsoft.com/office/spreadsheetml/2009/9/main" objectType="Drop" dropStyle="combo" dx="16" fmlaLink="$F$110" fmlaRange="$W$8:$W$14" noThreeD="1" val="0"/>
</file>

<file path=xl/ctrlProps/ctrlProp38.xml><?xml version="1.0" encoding="utf-8"?>
<formControlPr xmlns="http://schemas.microsoft.com/office/spreadsheetml/2009/9/main" objectType="Drop" dropStyle="combo" dx="16" fmlaLink="$F$111" fmlaRange="$W$8:$W$14" noThreeD="1" val="0"/>
</file>

<file path=xl/ctrlProps/ctrlProp39.xml><?xml version="1.0" encoding="utf-8"?>
<formControlPr xmlns="http://schemas.microsoft.com/office/spreadsheetml/2009/9/main" objectType="Drop" dropStyle="combo" dx="16" fmlaLink="$H$108" fmlaRange="$W$8:$W$14" noThreeD="1" val="0"/>
</file>

<file path=xl/ctrlProps/ctrlProp4.xml><?xml version="1.0" encoding="utf-8"?>
<formControlPr xmlns="http://schemas.microsoft.com/office/spreadsheetml/2009/9/main" objectType="CheckBox" checked="Checked" fmlaLink="$AE$21" lockText="1" noThreeD="1"/>
</file>

<file path=xl/ctrlProps/ctrlProp40.xml><?xml version="1.0" encoding="utf-8"?>
<formControlPr xmlns="http://schemas.microsoft.com/office/spreadsheetml/2009/9/main" objectType="Drop" dropStyle="combo" dx="16" fmlaLink="$H$109" fmlaRange="$W$8:$W$14" noThreeD="1" val="0"/>
</file>

<file path=xl/ctrlProps/ctrlProp41.xml><?xml version="1.0" encoding="utf-8"?>
<formControlPr xmlns="http://schemas.microsoft.com/office/spreadsheetml/2009/9/main" objectType="Drop" dropStyle="combo" dx="16" fmlaLink="$H$110" fmlaRange="$W$8:$W$14" noThreeD="1" val="0"/>
</file>

<file path=xl/ctrlProps/ctrlProp42.xml><?xml version="1.0" encoding="utf-8"?>
<formControlPr xmlns="http://schemas.microsoft.com/office/spreadsheetml/2009/9/main" objectType="Drop" dropStyle="combo" dx="16" fmlaLink="$H$111" fmlaRange="$W$8:$W$14" noThreeD="1" val="0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fmlaLink="$N$7" lockText="1" noThreeD="1"/>
</file>

<file path=xl/ctrlProps/ctrlProp52.xml><?xml version="1.0" encoding="utf-8"?>
<formControlPr xmlns="http://schemas.microsoft.com/office/spreadsheetml/2009/9/main" objectType="CheckBox" checked="Checked" fmlaLink="$N$9" lockText="1" noThreeD="1"/>
</file>

<file path=xl/ctrlProps/ctrlProp53.xml><?xml version="1.0" encoding="utf-8"?>
<formControlPr xmlns="http://schemas.microsoft.com/office/spreadsheetml/2009/9/main" objectType="CheckBox" checked="Checked" fmlaLink="$N$10" lockText="1" noThreeD="1"/>
</file>

<file path=xl/ctrlProps/ctrlProp54.xml><?xml version="1.0" encoding="utf-8"?>
<formControlPr xmlns="http://schemas.microsoft.com/office/spreadsheetml/2009/9/main" objectType="CheckBox" checked="Checked" fmlaLink="$N$11" lockText="1" noThreeD="1"/>
</file>

<file path=xl/ctrlProps/ctrlProp55.xml><?xml version="1.0" encoding="utf-8"?>
<formControlPr xmlns="http://schemas.microsoft.com/office/spreadsheetml/2009/9/main" objectType="CheckBox" checked="Checked" fmlaLink="$N$16" lockText="1" noThreeD="1"/>
</file>

<file path=xl/ctrlProps/ctrlProp56.xml><?xml version="1.0" encoding="utf-8"?>
<formControlPr xmlns="http://schemas.microsoft.com/office/spreadsheetml/2009/9/main" objectType="CheckBox" checked="Checked" fmlaLink="$N$8" lockText="1" noThreeD="1"/>
</file>

<file path=xl/ctrlProps/ctrlProp57.xml><?xml version="1.0" encoding="utf-8"?>
<formControlPr xmlns="http://schemas.microsoft.com/office/spreadsheetml/2009/9/main" objectType="CheckBox" checked="Checked" fmlaLink="$N$12" lockText="1" noThreeD="1"/>
</file>

<file path=xl/ctrlProps/ctrlProp58.xml><?xml version="1.0" encoding="utf-8"?>
<formControlPr xmlns="http://schemas.microsoft.com/office/spreadsheetml/2009/9/main" objectType="CheckBox" checked="Checked" fmlaLink="$N$13" lockText="1" noThreeD="1"/>
</file>

<file path=xl/ctrlProps/ctrlProp59.xml><?xml version="1.0" encoding="utf-8"?>
<formControlPr xmlns="http://schemas.microsoft.com/office/spreadsheetml/2009/9/main" objectType="CheckBox" checked="Checked" fmlaLink="$N$14" lockText="1" noThreeD="1"/>
</file>

<file path=xl/ctrlProps/ctrlProp6.xml><?xml version="1.0" encoding="utf-8"?>
<formControlPr xmlns="http://schemas.microsoft.com/office/spreadsheetml/2009/9/main" objectType="CheckBox" checked="Checked" fmlaLink="$AG$21" lockText="1" noThreeD="1"/>
</file>

<file path=xl/ctrlProps/ctrlProp60.xml><?xml version="1.0" encoding="utf-8"?>
<formControlPr xmlns="http://schemas.microsoft.com/office/spreadsheetml/2009/9/main" objectType="CheckBox" checked="Checked" fmlaLink="$N$17" lockText="1" noThreeD="1"/>
</file>

<file path=xl/ctrlProps/ctrlProp61.xml><?xml version="1.0" encoding="utf-8"?>
<formControlPr xmlns="http://schemas.microsoft.com/office/spreadsheetml/2009/9/main" objectType="CheckBox" fmlaLink="$M$8" lockText="1" noThreeD="1"/>
</file>

<file path=xl/ctrlProps/ctrlProp62.xml><?xml version="1.0" encoding="utf-8"?>
<formControlPr xmlns="http://schemas.microsoft.com/office/spreadsheetml/2009/9/main" objectType="CheckBox" checked="Checked" fmlaLink="$M$9" lockText="1" noThreeD="1"/>
</file>

<file path=xl/ctrlProps/ctrlProp7.xml><?xml version="1.0" encoding="utf-8"?>
<formControlPr xmlns="http://schemas.microsoft.com/office/spreadsheetml/2009/9/main" objectType="CheckBox" fmlaLink="$AH$21" lockText="1" noThreeD="1"/>
</file>

<file path=xl/ctrlProps/ctrlProp8.xml><?xml version="1.0" encoding="utf-8"?>
<formControlPr xmlns="http://schemas.microsoft.com/office/spreadsheetml/2009/9/main" objectType="CheckBox" checked="Checked" fmlaLink="$AI$21" lockText="1" noThreeD="1"/>
</file>

<file path=xl/ctrlProps/ctrlProp9.xml><?xml version="1.0" encoding="utf-8"?>
<formControlPr xmlns="http://schemas.microsoft.com/office/spreadsheetml/2009/9/main" objectType="CheckBox" checked="Checked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142875"/>
          <a:ext cx="7937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/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38</xdr:row>
      <xdr:rowOff>161925</xdr:rowOff>
    </xdr:from>
    <xdr:to>
      <xdr:col>15</xdr:col>
      <xdr:colOff>486641</xdr:colOff>
      <xdr:row>38</xdr:row>
      <xdr:rowOff>161925</xdr:rowOff>
    </xdr:to>
    <xdr:cxnSp macro="">
      <xdr:nvCxnSpPr>
        <xdr:cNvPr id="6" name="Straight Arrow Connector 6"/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159328</xdr:rowOff>
    </xdr:from>
    <xdr:to>
      <xdr:col>15</xdr:col>
      <xdr:colOff>486640</xdr:colOff>
      <xdr:row>39</xdr:row>
      <xdr:rowOff>159328</xdr:rowOff>
    </xdr:to>
    <xdr:cxnSp macro="">
      <xdr:nvCxnSpPr>
        <xdr:cNvPr id="7" name="Straight Arrow Connector 7"/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40</xdr:row>
      <xdr:rowOff>150669</xdr:rowOff>
    </xdr:from>
    <xdr:to>
      <xdr:col>15</xdr:col>
      <xdr:colOff>486640</xdr:colOff>
      <xdr:row>40</xdr:row>
      <xdr:rowOff>150669</xdr:rowOff>
    </xdr:to>
    <xdr:cxnSp macro="">
      <xdr:nvCxnSpPr>
        <xdr:cNvPr id="8" name="Straight Arrow Connector 8"/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41</xdr:row>
      <xdr:rowOff>140278</xdr:rowOff>
    </xdr:from>
    <xdr:to>
      <xdr:col>15</xdr:col>
      <xdr:colOff>486641</xdr:colOff>
      <xdr:row>41</xdr:row>
      <xdr:rowOff>140278</xdr:rowOff>
    </xdr:to>
    <xdr:cxnSp macro="">
      <xdr:nvCxnSpPr>
        <xdr:cNvPr id="9" name="Straight Arrow Connector 9"/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51</xdr:row>
      <xdr:rowOff>9525</xdr:rowOff>
    </xdr:from>
    <xdr:to>
      <xdr:col>25</xdr:col>
      <xdr:colOff>66675</xdr:colOff>
      <xdr:row>56</xdr:row>
      <xdr:rowOff>133351</xdr:rowOff>
    </xdr:to>
    <xdr:sp macro="" textlink="">
      <xdr:nvSpPr>
        <xdr:cNvPr id="13" name="TextBox 12"/>
        <xdr:cNvSpPr txBox="1"/>
      </xdr:nvSpPr>
      <xdr:spPr>
        <a:xfrm>
          <a:off x="10353675" y="17497425"/>
          <a:ext cx="4219575" cy="42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ทำเครื่องหมายถูกที่ช่องสี่เหลี่ยม 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  <a:sym typeface="Wingdings 2"/>
            </a:rPr>
            <a:t>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ในช่องค่าเป้าหมาย (ค) เพื่อกำหนด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ค่าเป้าหมายของภาระงาน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เฉพาะหัวข้อ 2) ภาระงานวิจัยและงานวิชาการอื่น ข้อที่ 2.มีการเผยแพร่ผลงานวิจัย ให้กรอกจำนวนชิ้นงานตามช่องน้ำหนักคุณภาพของผลงาน</a:t>
          </a:r>
          <a:endParaRPr lang="en-US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257175</xdr:rowOff>
        </xdr:from>
        <xdr:to>
          <xdr:col>8</xdr:col>
          <xdr:colOff>609600</xdr:colOff>
          <xdr:row>47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228600</xdr:rowOff>
        </xdr:from>
        <xdr:to>
          <xdr:col>8</xdr:col>
          <xdr:colOff>609600</xdr:colOff>
          <xdr:row>48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361950</xdr:rowOff>
        </xdr:from>
        <xdr:to>
          <xdr:col>8</xdr:col>
          <xdr:colOff>609600</xdr:colOff>
          <xdr:row>49</xdr:row>
          <xdr:rowOff>666750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0</xdr:rowOff>
        </xdr:from>
        <xdr:to>
          <xdr:col>8</xdr:col>
          <xdr:colOff>609600</xdr:colOff>
          <xdr:row>51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257175</xdr:rowOff>
        </xdr:from>
        <xdr:to>
          <xdr:col>8</xdr:col>
          <xdr:colOff>609600</xdr:colOff>
          <xdr:row>51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361950</xdr:rowOff>
        </xdr:from>
        <xdr:to>
          <xdr:col>8</xdr:col>
          <xdr:colOff>609600</xdr:colOff>
          <xdr:row>52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55</xdr:row>
          <xdr:rowOff>742950</xdr:rowOff>
        </xdr:from>
        <xdr:to>
          <xdr:col>8</xdr:col>
          <xdr:colOff>609600</xdr:colOff>
          <xdr:row>55</xdr:row>
          <xdr:rowOff>1047750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56</xdr:row>
          <xdr:rowOff>447675</xdr:rowOff>
        </xdr:from>
        <xdr:to>
          <xdr:col>8</xdr:col>
          <xdr:colOff>609600</xdr:colOff>
          <xdr:row>56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69</xdr:row>
          <xdr:rowOff>361950</xdr:rowOff>
        </xdr:from>
        <xdr:to>
          <xdr:col>8</xdr:col>
          <xdr:colOff>609600</xdr:colOff>
          <xdr:row>69</xdr:row>
          <xdr:rowOff>666750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228600</xdr:rowOff>
        </xdr:from>
        <xdr:to>
          <xdr:col>8</xdr:col>
          <xdr:colOff>609600</xdr:colOff>
          <xdr:row>70</xdr:row>
          <xdr:rowOff>533400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71</xdr:row>
          <xdr:rowOff>238125</xdr:rowOff>
        </xdr:from>
        <xdr:to>
          <xdr:col>8</xdr:col>
          <xdr:colOff>609600</xdr:colOff>
          <xdr:row>71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58</xdr:row>
          <xdr:rowOff>0</xdr:rowOff>
        </xdr:from>
        <xdr:to>
          <xdr:col>8</xdr:col>
          <xdr:colOff>600075</xdr:colOff>
          <xdr:row>59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124</xdr:row>
          <xdr:rowOff>0</xdr:rowOff>
        </xdr:from>
        <xdr:to>
          <xdr:col>5</xdr:col>
          <xdr:colOff>390525</xdr:colOff>
          <xdr:row>124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125</xdr:row>
          <xdr:rowOff>9525</xdr:rowOff>
        </xdr:from>
        <xdr:to>
          <xdr:col>5</xdr:col>
          <xdr:colOff>390525</xdr:colOff>
          <xdr:row>125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/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3" name="Text Box 5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4" name="Text Box 5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5" name="Text Box 6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6" name="Text Box 6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7" name="Text Box 6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8" name="Text Box 6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9" name="Text Box 6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0" name="Text Box 6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1" name="Text Box 6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2" name="Text Box 67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3" name="Text Box 6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4" name="Text Box 6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5" name="Text Box 7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6" name="Text Box 7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7" name="Text Box 7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8" name="Text Box 7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9" name="Text Box 7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80" name="Text Box 7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81" name="Text Box 7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25</xdr:row>
      <xdr:rowOff>82019</xdr:rowOff>
    </xdr:from>
    <xdr:to>
      <xdr:col>20</xdr:col>
      <xdr:colOff>476249</xdr:colOff>
      <xdr:row>29</xdr:row>
      <xdr:rowOff>190499</xdr:rowOff>
    </xdr:to>
    <xdr:sp macro="" textlink="">
      <xdr:nvSpPr>
        <xdr:cNvPr id="85" name="TextBox 84"/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ในกรณีที่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ไม่มี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เท่ากับหรือมากกว่า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น้อยกว่า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13</xdr:col>
      <xdr:colOff>150809</xdr:colOff>
      <xdr:row>54</xdr:row>
      <xdr:rowOff>127020</xdr:rowOff>
    </xdr:from>
    <xdr:to>
      <xdr:col>21</xdr:col>
      <xdr:colOff>7934</xdr:colOff>
      <xdr:row>59</xdr:row>
      <xdr:rowOff>158747</xdr:rowOff>
    </xdr:to>
    <xdr:sp macro="" textlink="">
      <xdr:nvSpPr>
        <xdr:cNvPr id="86" name="TextBox 85"/>
        <xdr:cNvSpPr txBox="1"/>
      </xdr:nvSpPr>
      <xdr:spPr>
        <a:xfrm>
          <a:off x="10809284" y="20758170"/>
          <a:ext cx="3971925" cy="307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(จ)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ไม่ได้ดำรงตำแหน่งบริหาร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ค่าคะแนนรวมสูงสุดของภาระงาน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พันธกิจเชิงคุณภาพจะเท่ากับร้อยละ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ดำรงตำแหน่งบริหาร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ค่าคะแนนรวมของภาระงานจะคิดสูงสุด   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กำหนดไว้ตามประกาศแนบท้าย ก.บ.ม.</a:t>
          </a:r>
        </a:p>
      </xdr:txBody>
    </xdr:sp>
    <xdr:clientData/>
  </xdr:twoCellAnchor>
  <xdr:twoCellAnchor>
    <xdr:from>
      <xdr:col>13</xdr:col>
      <xdr:colOff>131759</xdr:colOff>
      <xdr:row>77</xdr:row>
      <xdr:rowOff>60345</xdr:rowOff>
    </xdr:from>
    <xdr:to>
      <xdr:col>20</xdr:col>
      <xdr:colOff>369884</xdr:colOff>
      <xdr:row>85</xdr:row>
      <xdr:rowOff>323850</xdr:rowOff>
    </xdr:to>
    <xdr:sp macro="" textlink="">
      <xdr:nvSpPr>
        <xdr:cNvPr id="84" name="TextBox 83"/>
        <xdr:cNvSpPr txBox="1"/>
      </xdr:nvSpPr>
      <xdr:spPr>
        <a:xfrm>
          <a:off x="10866434" y="31759545"/>
          <a:ext cx="4048125" cy="32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สำหรับอาจารย์ประจำหลักสูตร และอาจารย์ผู้สอนในสังกัดหลักสูร</a:t>
          </a:r>
          <a:endParaRPr lang="th-TH" sz="1400" b="1" u="sng" baseline="0">
            <a:solidFill>
              <a:srgbClr val="0000CC"/>
            </a:solidFill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ค่าคะแนนได้จากผลการประเมินการประกันคุณภาพระดับหลักสูตร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กรณีที่เป็นอาจารย์ประจำหลักสูตร</a:t>
          </a:r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 ป.โท และ ป.เอก ค่าคะแนนที่ได้ให้ใช้ค่าเฉลี่ยของ 2 หลักสูตร (ผลการประเมินหลักสูตร ป.โท + ป.เอก / 2)</a:t>
          </a:r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th-TH" sz="5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 u="sng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สำหรับผู้บริหารคณะ / อาจารย์ที่ไม่สังกัดหลักสูตร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ค่าคะแนนได้จาก</a:t>
          </a:r>
          <a:r>
            <a:rPr lang="th-TH" sz="1400" b="0" u="sng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ผลการประเมินการประกันคุณภาพเฉลี่ยของทุกหลักสูตร</a:t>
          </a:r>
          <a:r>
            <a:rPr lang="th-TH" sz="1400" b="0" u="sng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+ ผลการประเมินการประกันคุณภาพของคณะ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เช่น ผลการประเมิน หลักสูตร ก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หลักสูตร ข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3.0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หลักสูตร ค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4.1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คณะ        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3.8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ดังนั้น ค่าคะแนนที่ได้จะเท่ากับ (3.5 + 3.0 + 4.1 + 3.8) / 4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=  3.60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คะแนน</a:t>
          </a:r>
          <a:endParaRPr lang="en-US" sz="1400" b="0" u="none" baseline="0">
            <a:solidFill>
              <a:sysClr val="windowText" lastClr="000000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u="sng" baseline="0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        </a:t>
          </a:r>
          <a:endParaRPr lang="th-TH" sz="1400" b="1" u="sng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1" u="sng" baseline="0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95</xdr:row>
          <xdr:rowOff>47625</xdr:rowOff>
        </xdr:from>
        <xdr:to>
          <xdr:col>6</xdr:col>
          <xdr:colOff>409575</xdr:colOff>
          <xdr:row>95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96</xdr:row>
          <xdr:rowOff>47625</xdr:rowOff>
        </xdr:from>
        <xdr:to>
          <xdr:col>6</xdr:col>
          <xdr:colOff>409575</xdr:colOff>
          <xdr:row>96</xdr:row>
          <xdr:rowOff>247650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97</xdr:row>
          <xdr:rowOff>47625</xdr:rowOff>
        </xdr:from>
        <xdr:to>
          <xdr:col>6</xdr:col>
          <xdr:colOff>409575</xdr:colOff>
          <xdr:row>97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98</xdr:row>
          <xdr:rowOff>47625</xdr:rowOff>
        </xdr:from>
        <xdr:to>
          <xdr:col>6</xdr:col>
          <xdr:colOff>409575</xdr:colOff>
          <xdr:row>98</xdr:row>
          <xdr:rowOff>247650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99</xdr:row>
          <xdr:rowOff>47625</xdr:rowOff>
        </xdr:from>
        <xdr:to>
          <xdr:col>6</xdr:col>
          <xdr:colOff>409575</xdr:colOff>
          <xdr:row>99</xdr:row>
          <xdr:rowOff>247650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101</xdr:row>
          <xdr:rowOff>47625</xdr:rowOff>
        </xdr:from>
        <xdr:to>
          <xdr:col>6</xdr:col>
          <xdr:colOff>409575</xdr:colOff>
          <xdr:row>101</xdr:row>
          <xdr:rowOff>247650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102</xdr:row>
          <xdr:rowOff>47625</xdr:rowOff>
        </xdr:from>
        <xdr:to>
          <xdr:col>6</xdr:col>
          <xdr:colOff>409575</xdr:colOff>
          <xdr:row>102</xdr:row>
          <xdr:rowOff>247650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103</xdr:row>
          <xdr:rowOff>47625</xdr:rowOff>
        </xdr:from>
        <xdr:to>
          <xdr:col>6</xdr:col>
          <xdr:colOff>409575</xdr:colOff>
          <xdr:row>103</xdr:row>
          <xdr:rowOff>247650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104</xdr:row>
          <xdr:rowOff>47625</xdr:rowOff>
        </xdr:from>
        <xdr:to>
          <xdr:col>6</xdr:col>
          <xdr:colOff>409575</xdr:colOff>
          <xdr:row>104</xdr:row>
          <xdr:rowOff>247650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105</xdr:row>
          <xdr:rowOff>47625</xdr:rowOff>
        </xdr:from>
        <xdr:to>
          <xdr:col>6</xdr:col>
          <xdr:colOff>409575</xdr:colOff>
          <xdr:row>105</xdr:row>
          <xdr:rowOff>247650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95</xdr:row>
          <xdr:rowOff>47625</xdr:rowOff>
        </xdr:from>
        <xdr:to>
          <xdr:col>7</xdr:col>
          <xdr:colOff>914400</xdr:colOff>
          <xdr:row>95</xdr:row>
          <xdr:rowOff>247650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96</xdr:row>
          <xdr:rowOff>47625</xdr:rowOff>
        </xdr:from>
        <xdr:to>
          <xdr:col>7</xdr:col>
          <xdr:colOff>904875</xdr:colOff>
          <xdr:row>96</xdr:row>
          <xdr:rowOff>247650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97</xdr:row>
          <xdr:rowOff>47625</xdr:rowOff>
        </xdr:from>
        <xdr:to>
          <xdr:col>7</xdr:col>
          <xdr:colOff>904875</xdr:colOff>
          <xdr:row>97</xdr:row>
          <xdr:rowOff>247650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98</xdr:row>
          <xdr:rowOff>47625</xdr:rowOff>
        </xdr:from>
        <xdr:to>
          <xdr:col>7</xdr:col>
          <xdr:colOff>904875</xdr:colOff>
          <xdr:row>98</xdr:row>
          <xdr:rowOff>247650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99</xdr:row>
          <xdr:rowOff>47625</xdr:rowOff>
        </xdr:from>
        <xdr:to>
          <xdr:col>7</xdr:col>
          <xdr:colOff>904875</xdr:colOff>
          <xdr:row>99</xdr:row>
          <xdr:rowOff>247650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101</xdr:row>
          <xdr:rowOff>47625</xdr:rowOff>
        </xdr:from>
        <xdr:to>
          <xdr:col>7</xdr:col>
          <xdr:colOff>914400</xdr:colOff>
          <xdr:row>101</xdr:row>
          <xdr:rowOff>247650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102</xdr:row>
          <xdr:rowOff>47625</xdr:rowOff>
        </xdr:from>
        <xdr:to>
          <xdr:col>7</xdr:col>
          <xdr:colOff>914400</xdr:colOff>
          <xdr:row>102</xdr:row>
          <xdr:rowOff>247650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103</xdr:row>
          <xdr:rowOff>47625</xdr:rowOff>
        </xdr:from>
        <xdr:to>
          <xdr:col>7</xdr:col>
          <xdr:colOff>914400</xdr:colOff>
          <xdr:row>103</xdr:row>
          <xdr:rowOff>247650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104</xdr:row>
          <xdr:rowOff>47625</xdr:rowOff>
        </xdr:from>
        <xdr:to>
          <xdr:col>7</xdr:col>
          <xdr:colOff>923925</xdr:colOff>
          <xdr:row>104</xdr:row>
          <xdr:rowOff>247650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105</xdr:row>
          <xdr:rowOff>47625</xdr:rowOff>
        </xdr:from>
        <xdr:to>
          <xdr:col>7</xdr:col>
          <xdr:colOff>923925</xdr:colOff>
          <xdr:row>105</xdr:row>
          <xdr:rowOff>247650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107</xdr:row>
          <xdr:rowOff>47625</xdr:rowOff>
        </xdr:from>
        <xdr:to>
          <xdr:col>6</xdr:col>
          <xdr:colOff>409575</xdr:colOff>
          <xdr:row>107</xdr:row>
          <xdr:rowOff>247650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108</xdr:row>
          <xdr:rowOff>47625</xdr:rowOff>
        </xdr:from>
        <xdr:to>
          <xdr:col>6</xdr:col>
          <xdr:colOff>409575</xdr:colOff>
          <xdr:row>108</xdr:row>
          <xdr:rowOff>247650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109</xdr:row>
          <xdr:rowOff>47625</xdr:rowOff>
        </xdr:from>
        <xdr:to>
          <xdr:col>6</xdr:col>
          <xdr:colOff>409575</xdr:colOff>
          <xdr:row>109</xdr:row>
          <xdr:rowOff>247650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110</xdr:row>
          <xdr:rowOff>47625</xdr:rowOff>
        </xdr:from>
        <xdr:to>
          <xdr:col>6</xdr:col>
          <xdr:colOff>409575</xdr:colOff>
          <xdr:row>110</xdr:row>
          <xdr:rowOff>247650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107</xdr:row>
          <xdr:rowOff>47625</xdr:rowOff>
        </xdr:from>
        <xdr:to>
          <xdr:col>7</xdr:col>
          <xdr:colOff>923925</xdr:colOff>
          <xdr:row>107</xdr:row>
          <xdr:rowOff>247650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108</xdr:row>
          <xdr:rowOff>47625</xdr:rowOff>
        </xdr:from>
        <xdr:to>
          <xdr:col>7</xdr:col>
          <xdr:colOff>923925</xdr:colOff>
          <xdr:row>108</xdr:row>
          <xdr:rowOff>247650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109</xdr:row>
          <xdr:rowOff>47625</xdr:rowOff>
        </xdr:from>
        <xdr:to>
          <xdr:col>7</xdr:col>
          <xdr:colOff>923925</xdr:colOff>
          <xdr:row>109</xdr:row>
          <xdr:rowOff>247650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110</xdr:row>
          <xdr:rowOff>47625</xdr:rowOff>
        </xdr:from>
        <xdr:to>
          <xdr:col>7</xdr:col>
          <xdr:colOff>923925</xdr:colOff>
          <xdr:row>110</xdr:row>
          <xdr:rowOff>247650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38100</xdr:rowOff>
        </xdr:from>
        <xdr:to>
          <xdr:col>6</xdr:col>
          <xdr:colOff>485775</xdr:colOff>
          <xdr:row>138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19050</xdr:rowOff>
        </xdr:from>
        <xdr:to>
          <xdr:col>6</xdr:col>
          <xdr:colOff>485775</xdr:colOff>
          <xdr:row>138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19050</xdr:rowOff>
        </xdr:from>
        <xdr:to>
          <xdr:col>6</xdr:col>
          <xdr:colOff>485775</xdr:colOff>
          <xdr:row>139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142</xdr:row>
          <xdr:rowOff>38100</xdr:rowOff>
        </xdr:from>
        <xdr:to>
          <xdr:col>3</xdr:col>
          <xdr:colOff>28575</xdr:colOff>
          <xdr:row>142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143</xdr:row>
          <xdr:rowOff>38100</xdr:rowOff>
        </xdr:from>
        <xdr:to>
          <xdr:col>3</xdr:col>
          <xdr:colOff>28575</xdr:colOff>
          <xdr:row>143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144</xdr:row>
          <xdr:rowOff>19050</xdr:rowOff>
        </xdr:from>
        <xdr:to>
          <xdr:col>3</xdr:col>
          <xdr:colOff>28575</xdr:colOff>
          <xdr:row>144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145</xdr:row>
          <xdr:rowOff>19050</xdr:rowOff>
        </xdr:from>
        <xdr:to>
          <xdr:col>3</xdr:col>
          <xdr:colOff>28575</xdr:colOff>
          <xdr:row>145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146</xdr:row>
          <xdr:rowOff>19050</xdr:rowOff>
        </xdr:from>
        <xdr:to>
          <xdr:col>3</xdr:col>
          <xdr:colOff>28575</xdr:colOff>
          <xdr:row>146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/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11</xdr:col>
      <xdr:colOff>581025</xdr:colOff>
      <xdr:row>4</xdr:row>
      <xdr:rowOff>0</xdr:rowOff>
    </xdr:from>
    <xdr:to>
      <xdr:col>24</xdr:col>
      <xdr:colOff>209550</xdr:colOff>
      <xdr:row>8</xdr:row>
      <xdr:rowOff>269032</xdr:rowOff>
    </xdr:to>
    <xdr:sp macro="" textlink="">
      <xdr:nvSpPr>
        <xdr:cNvPr id="10" name="TextBox 9"/>
        <xdr:cNvSpPr txBox="1"/>
      </xdr:nvSpPr>
      <xdr:spPr>
        <a:xfrm>
          <a:off x="9267825" y="790575"/>
          <a:ext cx="37147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/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/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/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57150</xdr:rowOff>
        </xdr:from>
        <xdr:to>
          <xdr:col>9</xdr:col>
          <xdr:colOff>609600</xdr:colOff>
          <xdr:row>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76200</xdr:rowOff>
        </xdr:from>
        <xdr:to>
          <xdr:col>9</xdr:col>
          <xdr:colOff>609600</xdr:colOff>
          <xdr:row>9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66675</xdr:rowOff>
        </xdr:from>
        <xdr:to>
          <xdr:col>9</xdr:col>
          <xdr:colOff>609600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15</xdr:row>
          <xdr:rowOff>57150</xdr:rowOff>
        </xdr:from>
        <xdr:to>
          <xdr:col>9</xdr:col>
          <xdr:colOff>609600</xdr:colOff>
          <xdr:row>15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</xdr:row>
          <xdr:rowOff>66675</xdr:rowOff>
        </xdr:from>
        <xdr:to>
          <xdr:col>9</xdr:col>
          <xdr:colOff>609600</xdr:colOff>
          <xdr:row>13</xdr:row>
          <xdr:rowOff>295275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16</xdr:row>
          <xdr:rowOff>57150</xdr:rowOff>
        </xdr:from>
        <xdr:to>
          <xdr:col>9</xdr:col>
          <xdr:colOff>609600</xdr:colOff>
          <xdr:row>16</xdr:row>
          <xdr:rowOff>285750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/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/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/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/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7</xdr:row>
          <xdr:rowOff>95250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/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/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S\2560\2_60\APS_2_2560\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0.39997558519241921"/>
  </sheetPr>
  <dimension ref="A1:P72"/>
  <sheetViews>
    <sheetView showGridLines="0" topLeftCell="A62" workbookViewId="0">
      <selection activeCell="S85" sqref="S85"/>
    </sheetView>
  </sheetViews>
  <sheetFormatPr defaultRowHeight="14.25" x14ac:dyDescent="0.2"/>
  <cols>
    <col min="1" max="1" width="3" customWidth="1"/>
    <col min="2" max="2" width="31.25" customWidth="1"/>
    <col min="3" max="6" width="5.625" customWidth="1"/>
    <col min="7" max="16" width="8" customWidth="1"/>
  </cols>
  <sheetData>
    <row r="1" spans="1:16" ht="24.75" x14ac:dyDescent="0.6">
      <c r="A1" s="2127" t="s">
        <v>0</v>
      </c>
      <c r="B1" s="2127"/>
      <c r="C1" s="2127"/>
      <c r="D1" s="2127"/>
      <c r="E1" s="2127"/>
      <c r="F1" s="2127"/>
      <c r="G1" s="2127"/>
      <c r="H1" s="2127"/>
      <c r="I1" s="2127"/>
      <c r="J1" s="2127"/>
      <c r="K1" s="2127"/>
      <c r="L1" s="2127"/>
      <c r="M1" s="2127"/>
      <c r="N1" s="2127"/>
      <c r="O1" s="2127"/>
      <c r="P1" s="2127"/>
    </row>
    <row r="2" spans="1:16" ht="24.75" x14ac:dyDescent="0.6">
      <c r="A2" s="2127" t="s">
        <v>770</v>
      </c>
      <c r="B2" s="2127"/>
      <c r="C2" s="2127"/>
      <c r="D2" s="2127"/>
      <c r="E2" s="2127"/>
      <c r="F2" s="2127"/>
      <c r="G2" s="2127"/>
      <c r="H2" s="2127"/>
      <c r="I2" s="2127"/>
      <c r="J2" s="2127"/>
      <c r="K2" s="2127"/>
      <c r="L2" s="2127"/>
      <c r="M2" s="2127"/>
      <c r="N2" s="2127"/>
      <c r="O2" s="2127"/>
      <c r="P2" s="2127"/>
    </row>
    <row r="3" spans="1:16" ht="20.25" x14ac:dyDescent="0.5">
      <c r="A3" s="2"/>
      <c r="B3" s="2"/>
      <c r="C3" s="2"/>
      <c r="D3" s="2"/>
      <c r="E3" s="2"/>
      <c r="F3" s="2"/>
      <c r="G3" s="2"/>
      <c r="H3" s="2"/>
      <c r="I3" s="2"/>
      <c r="J3" s="29"/>
      <c r="K3" s="29"/>
      <c r="L3" s="29"/>
      <c r="M3" s="2"/>
      <c r="N3" s="2"/>
      <c r="O3" s="2"/>
      <c r="P3" s="2"/>
    </row>
    <row r="4" spans="1:16" ht="24.75" x14ac:dyDescent="0.6">
      <c r="A4" s="5" t="s">
        <v>1</v>
      </c>
      <c r="B4" s="2"/>
      <c r="C4" s="2"/>
      <c r="D4" s="2"/>
      <c r="E4" s="2"/>
      <c r="F4" s="2"/>
      <c r="G4" s="2"/>
      <c r="H4" s="2"/>
      <c r="I4" s="2"/>
      <c r="J4" s="29"/>
      <c r="K4" s="29"/>
      <c r="L4" s="29"/>
      <c r="M4" s="2"/>
      <c r="N4" s="2"/>
      <c r="O4" s="2"/>
      <c r="P4" s="2"/>
    </row>
    <row r="5" spans="1:16" ht="22.5" x14ac:dyDescent="0.55000000000000004">
      <c r="A5" s="6" t="s">
        <v>2</v>
      </c>
      <c r="B5" s="3"/>
      <c r="C5" s="3"/>
      <c r="D5" s="3"/>
      <c r="E5" s="3"/>
      <c r="F5" s="3"/>
      <c r="G5" s="3"/>
      <c r="H5" s="3"/>
      <c r="I5" s="3"/>
      <c r="J5" s="30"/>
      <c r="K5" s="30"/>
      <c r="L5" s="30"/>
      <c r="M5" s="3"/>
      <c r="N5" s="3"/>
      <c r="O5" s="3"/>
      <c r="P5" s="3"/>
    </row>
    <row r="6" spans="1:16" ht="74.25" customHeight="1" x14ac:dyDescent="0.55000000000000004">
      <c r="A6" s="3"/>
      <c r="B6" s="2128" t="s">
        <v>93</v>
      </c>
      <c r="C6" s="2128"/>
      <c r="D6" s="2128"/>
      <c r="E6" s="2128"/>
      <c r="F6" s="2128"/>
      <c r="G6" s="2128"/>
      <c r="H6" s="2128"/>
      <c r="I6" s="2128"/>
      <c r="J6" s="2128"/>
      <c r="K6" s="2128"/>
      <c r="L6" s="2128"/>
      <c r="M6" s="2128"/>
      <c r="N6" s="2128"/>
      <c r="O6" s="2128"/>
      <c r="P6" s="2128"/>
    </row>
    <row r="7" spans="1:16" ht="22.5" x14ac:dyDescent="0.55000000000000004">
      <c r="A7" s="9">
        <v>1.1000000000000001</v>
      </c>
      <c r="B7" s="4" t="s">
        <v>94</v>
      </c>
      <c r="C7" s="3"/>
      <c r="D7" s="3"/>
      <c r="E7" s="2"/>
      <c r="F7" s="2"/>
      <c r="G7" s="2"/>
      <c r="H7" s="2"/>
      <c r="I7" s="2"/>
      <c r="J7" s="29"/>
      <c r="K7" s="29"/>
      <c r="L7" s="29"/>
      <c r="M7" s="2"/>
      <c r="N7" s="2"/>
      <c r="O7" s="2"/>
      <c r="P7" s="2"/>
    </row>
    <row r="8" spans="1:16" ht="22.5" x14ac:dyDescent="0.55000000000000004">
      <c r="A8" s="3"/>
      <c r="B8" s="3" t="s">
        <v>3</v>
      </c>
      <c r="C8" s="3" t="s">
        <v>4</v>
      </c>
      <c r="D8" s="3"/>
      <c r="E8" s="2"/>
      <c r="F8" s="2"/>
      <c r="G8" s="2"/>
      <c r="H8" s="2"/>
      <c r="I8" s="2"/>
      <c r="J8" s="29"/>
      <c r="K8" s="29"/>
      <c r="L8" s="29"/>
      <c r="M8" s="2"/>
      <c r="N8" s="2"/>
      <c r="O8" s="2"/>
      <c r="P8" s="2"/>
    </row>
    <row r="9" spans="1:16" ht="22.5" x14ac:dyDescent="0.55000000000000004">
      <c r="A9" s="3"/>
      <c r="B9" s="8" t="s">
        <v>5</v>
      </c>
      <c r="C9" s="3" t="s">
        <v>6</v>
      </c>
      <c r="D9" s="3"/>
      <c r="E9" s="2"/>
      <c r="F9" s="2"/>
      <c r="G9" s="2"/>
      <c r="H9" s="2"/>
      <c r="I9" s="2"/>
      <c r="J9" s="29"/>
      <c r="K9" s="29"/>
      <c r="L9" s="29"/>
      <c r="M9" s="2"/>
      <c r="N9" s="2"/>
      <c r="O9" s="2"/>
      <c r="P9" s="2"/>
    </row>
    <row r="10" spans="1:16" ht="22.5" x14ac:dyDescent="0.55000000000000004">
      <c r="A10" s="3"/>
      <c r="B10" s="3" t="s">
        <v>7</v>
      </c>
      <c r="C10" s="3" t="s">
        <v>8</v>
      </c>
      <c r="D10" s="3"/>
      <c r="E10" s="2"/>
      <c r="F10" s="2"/>
      <c r="G10" s="2"/>
      <c r="H10" s="2"/>
      <c r="I10" s="2"/>
      <c r="J10" s="29"/>
      <c r="K10" s="29"/>
      <c r="L10" s="29"/>
      <c r="M10" s="2"/>
      <c r="N10" s="2"/>
      <c r="O10" s="2"/>
      <c r="P10" s="2"/>
    </row>
    <row r="11" spans="1:16" ht="22.5" x14ac:dyDescent="0.55000000000000004">
      <c r="A11" s="3"/>
      <c r="B11" s="3" t="s">
        <v>9</v>
      </c>
      <c r="C11" s="3" t="s">
        <v>10</v>
      </c>
      <c r="D11" s="3"/>
      <c r="E11" s="2"/>
      <c r="F11" s="2"/>
      <c r="G11" s="2"/>
      <c r="H11" s="2"/>
      <c r="I11" s="2"/>
      <c r="J11" s="29"/>
      <c r="K11" s="29"/>
      <c r="L11" s="29"/>
      <c r="M11" s="2"/>
      <c r="N11" s="2"/>
      <c r="O11" s="2"/>
      <c r="P11" s="2"/>
    </row>
    <row r="12" spans="1:16" ht="29.25" customHeight="1" x14ac:dyDescent="0.55000000000000004">
      <c r="A12" s="3"/>
      <c r="B12" s="2128" t="s">
        <v>95</v>
      </c>
      <c r="C12" s="2128"/>
      <c r="D12" s="2128"/>
      <c r="E12" s="2128"/>
      <c r="F12" s="2128"/>
      <c r="G12" s="2128"/>
      <c r="H12" s="2128"/>
      <c r="I12" s="2128"/>
      <c r="J12" s="2128"/>
      <c r="K12" s="2128"/>
      <c r="L12" s="2128"/>
      <c r="M12" s="2128"/>
      <c r="N12" s="2128"/>
      <c r="O12" s="2128"/>
      <c r="P12" s="2128"/>
    </row>
    <row r="13" spans="1:16" ht="70.5" customHeight="1" x14ac:dyDescent="0.55000000000000004">
      <c r="A13" s="3"/>
      <c r="B13" s="2129" t="s">
        <v>107</v>
      </c>
      <c r="C13" s="2129"/>
      <c r="D13" s="2129"/>
      <c r="E13" s="2129"/>
      <c r="F13" s="2129"/>
      <c r="G13" s="2129"/>
      <c r="H13" s="2129"/>
      <c r="I13" s="2129"/>
      <c r="J13" s="2129"/>
      <c r="K13" s="2129"/>
      <c r="L13" s="2129"/>
      <c r="M13" s="2129"/>
      <c r="N13" s="2129"/>
      <c r="O13" s="2129"/>
      <c r="P13" s="2129"/>
    </row>
    <row r="14" spans="1:16" ht="22.5" x14ac:dyDescent="0.55000000000000004">
      <c r="A14" s="60" t="s">
        <v>108</v>
      </c>
      <c r="B14" s="4" t="s">
        <v>11</v>
      </c>
      <c r="C14" s="3"/>
      <c r="D14" s="3"/>
      <c r="E14" s="2"/>
      <c r="F14" s="2"/>
      <c r="G14" s="2"/>
      <c r="H14" s="2"/>
      <c r="I14" s="2"/>
      <c r="J14" s="29"/>
      <c r="K14" s="29"/>
      <c r="L14" s="29"/>
      <c r="M14" s="2"/>
      <c r="N14" s="2"/>
      <c r="O14" s="2"/>
      <c r="P14" s="2"/>
    </row>
    <row r="15" spans="1:16" ht="22.5" x14ac:dyDescent="0.55000000000000004">
      <c r="A15" s="3"/>
      <c r="B15" s="3" t="s">
        <v>12</v>
      </c>
      <c r="C15" s="3"/>
      <c r="D15" s="3"/>
      <c r="E15" s="2"/>
      <c r="F15" s="2"/>
      <c r="G15" s="2"/>
      <c r="H15" s="2"/>
      <c r="I15" s="2"/>
      <c r="J15" s="29"/>
      <c r="K15" s="29"/>
      <c r="L15" s="29"/>
      <c r="M15" s="2"/>
      <c r="N15" s="2"/>
      <c r="O15" s="2"/>
      <c r="P15" s="2"/>
    </row>
    <row r="16" spans="1:16" ht="9.75" customHeight="1" x14ac:dyDescent="0.2"/>
    <row r="17" spans="1:16" ht="22.5" x14ac:dyDescent="0.55000000000000004">
      <c r="A17" s="6" t="s">
        <v>13</v>
      </c>
      <c r="B17" s="3"/>
      <c r="C17" s="3"/>
      <c r="D17" s="3"/>
      <c r="E17" s="3"/>
      <c r="F17" s="3"/>
      <c r="G17" s="3"/>
      <c r="H17" s="3"/>
      <c r="I17" s="3"/>
      <c r="J17" s="30"/>
      <c r="K17" s="30"/>
      <c r="L17" s="30"/>
      <c r="M17" s="3"/>
      <c r="N17" s="3"/>
      <c r="O17" s="3"/>
      <c r="P17" s="3"/>
    </row>
    <row r="18" spans="1:16" ht="22.5" x14ac:dyDescent="0.55000000000000004">
      <c r="A18" s="3"/>
      <c r="B18" s="2136" t="s">
        <v>14</v>
      </c>
      <c r="C18" s="2130" t="s">
        <v>15</v>
      </c>
      <c r="D18" s="2130"/>
      <c r="E18" s="2130"/>
      <c r="F18" s="2130"/>
      <c r="G18" s="2130"/>
      <c r="H18" s="2130"/>
      <c r="I18" s="2130"/>
      <c r="J18" s="2130"/>
      <c r="K18" s="2130"/>
      <c r="L18" s="2130"/>
      <c r="M18" s="2130"/>
      <c r="N18" s="2130"/>
      <c r="O18" s="2130"/>
      <c r="P18" s="2130"/>
    </row>
    <row r="19" spans="1:16" ht="22.5" customHeight="1" x14ac:dyDescent="0.55000000000000004">
      <c r="A19" s="3"/>
      <c r="B19" s="2136"/>
      <c r="C19" s="2143" t="s">
        <v>96</v>
      </c>
      <c r="D19" s="2144"/>
      <c r="E19" s="2144"/>
      <c r="F19" s="2145"/>
      <c r="G19" s="2137" t="s">
        <v>16</v>
      </c>
      <c r="H19" s="2137"/>
      <c r="I19" s="2137" t="s">
        <v>17</v>
      </c>
      <c r="J19" s="2137"/>
      <c r="K19" s="2138" t="s">
        <v>18</v>
      </c>
      <c r="L19" s="2139"/>
      <c r="M19" s="2140" t="s">
        <v>19</v>
      </c>
      <c r="N19" s="2141"/>
      <c r="O19" s="2142"/>
      <c r="P19" s="2134" t="s">
        <v>20</v>
      </c>
    </row>
    <row r="20" spans="1:16" ht="61.5" customHeight="1" x14ac:dyDescent="0.2">
      <c r="A20" s="7"/>
      <c r="B20" s="2136"/>
      <c r="C20" s="2146" t="s">
        <v>97</v>
      </c>
      <c r="D20" s="2147"/>
      <c r="E20" s="2146" t="s">
        <v>106</v>
      </c>
      <c r="F20" s="2147"/>
      <c r="G20" s="46" t="s">
        <v>21</v>
      </c>
      <c r="H20" s="46" t="s">
        <v>22</v>
      </c>
      <c r="I20" s="46" t="s">
        <v>23</v>
      </c>
      <c r="J20" s="47" t="s">
        <v>24</v>
      </c>
      <c r="K20" s="47" t="s">
        <v>25</v>
      </c>
      <c r="L20" s="48" t="s">
        <v>26</v>
      </c>
      <c r="M20" s="46" t="s">
        <v>27</v>
      </c>
      <c r="N20" s="46" t="s">
        <v>28</v>
      </c>
      <c r="O20" s="46" t="s">
        <v>29</v>
      </c>
      <c r="P20" s="2135"/>
    </row>
    <row r="21" spans="1:16" ht="22.5" x14ac:dyDescent="0.2">
      <c r="A21" s="7"/>
      <c r="B21" s="2131" t="s">
        <v>30</v>
      </c>
      <c r="C21" s="2132"/>
      <c r="D21" s="2132"/>
      <c r="E21" s="2132"/>
      <c r="F21" s="2132"/>
      <c r="G21" s="2132"/>
      <c r="H21" s="2132"/>
      <c r="I21" s="2132"/>
      <c r="J21" s="2132"/>
      <c r="K21" s="2132"/>
      <c r="L21" s="2132"/>
      <c r="M21" s="2132"/>
      <c r="N21" s="2132"/>
      <c r="O21" s="2132"/>
      <c r="P21" s="2133"/>
    </row>
    <row r="22" spans="1:16" ht="22.5" hidden="1" x14ac:dyDescent="0.2">
      <c r="A22" s="7"/>
      <c r="B22" s="28" t="s">
        <v>31</v>
      </c>
      <c r="C22" s="15">
        <v>35</v>
      </c>
      <c r="D22" s="15"/>
      <c r="E22" s="15">
        <v>35</v>
      </c>
      <c r="F22" s="15"/>
      <c r="G22" s="15">
        <v>20</v>
      </c>
      <c r="H22" s="15">
        <v>20</v>
      </c>
      <c r="I22" s="15">
        <v>35</v>
      </c>
      <c r="J22" s="41">
        <v>20</v>
      </c>
      <c r="K22" s="41">
        <v>15</v>
      </c>
      <c r="L22" s="41">
        <v>15</v>
      </c>
      <c r="M22" s="42">
        <v>15</v>
      </c>
      <c r="N22" s="42">
        <v>10</v>
      </c>
      <c r="O22" s="15">
        <v>7.5</v>
      </c>
      <c r="P22" s="15" t="s">
        <v>32</v>
      </c>
    </row>
    <row r="23" spans="1:16" ht="22.5" x14ac:dyDescent="0.2">
      <c r="A23" s="7"/>
      <c r="B23" s="28" t="s">
        <v>33</v>
      </c>
      <c r="C23" s="49"/>
      <c r="D23" s="50"/>
      <c r="E23" s="50"/>
      <c r="F23" s="50"/>
      <c r="G23" s="50"/>
      <c r="H23" s="50"/>
      <c r="I23" s="50"/>
      <c r="J23" s="52"/>
      <c r="K23" s="52"/>
      <c r="L23" s="52"/>
      <c r="M23" s="50"/>
      <c r="N23" s="50"/>
      <c r="O23" s="50"/>
      <c r="P23" s="51"/>
    </row>
    <row r="24" spans="1:16" ht="20.25" x14ac:dyDescent="0.5">
      <c r="A24" s="2"/>
      <c r="B24" s="11" t="s">
        <v>34</v>
      </c>
      <c r="C24" s="16">
        <v>80</v>
      </c>
      <c r="D24" s="16">
        <v>60</v>
      </c>
      <c r="E24" s="16">
        <v>80</v>
      </c>
      <c r="F24" s="16">
        <v>60</v>
      </c>
      <c r="G24" s="16">
        <v>40</v>
      </c>
      <c r="H24" s="16">
        <v>40</v>
      </c>
      <c r="I24" s="16">
        <v>40</v>
      </c>
      <c r="J24" s="31">
        <v>25</v>
      </c>
      <c r="K24" s="31">
        <v>25</v>
      </c>
      <c r="L24" s="31">
        <v>25</v>
      </c>
      <c r="M24" s="16">
        <v>25</v>
      </c>
      <c r="N24" s="16">
        <v>15</v>
      </c>
      <c r="O24" s="16">
        <v>10</v>
      </c>
      <c r="P24" s="16" t="s">
        <v>32</v>
      </c>
    </row>
    <row r="25" spans="1:16" ht="20.25" x14ac:dyDescent="0.5">
      <c r="A25" s="2"/>
      <c r="B25" s="12" t="s">
        <v>35</v>
      </c>
      <c r="C25" s="13" t="s">
        <v>36</v>
      </c>
      <c r="D25" s="13" t="s">
        <v>62</v>
      </c>
      <c r="E25" s="13" t="s">
        <v>37</v>
      </c>
      <c r="F25" s="13" t="s">
        <v>39</v>
      </c>
      <c r="G25" s="13" t="s">
        <v>37</v>
      </c>
      <c r="H25" s="13" t="s">
        <v>32</v>
      </c>
      <c r="I25" s="13" t="s">
        <v>32</v>
      </c>
      <c r="J25" s="32" t="s">
        <v>32</v>
      </c>
      <c r="K25" s="32" t="s">
        <v>32</v>
      </c>
      <c r="L25" s="32" t="s">
        <v>32</v>
      </c>
      <c r="M25" s="13" t="s">
        <v>32</v>
      </c>
      <c r="N25" s="13" t="s">
        <v>32</v>
      </c>
      <c r="O25" s="13" t="s">
        <v>32</v>
      </c>
      <c r="P25" s="13" t="s">
        <v>32</v>
      </c>
    </row>
    <row r="26" spans="1:16" ht="20.25" x14ac:dyDescent="0.5">
      <c r="A26" s="2"/>
      <c r="B26" s="12" t="s">
        <v>38</v>
      </c>
      <c r="C26" s="13"/>
      <c r="D26" s="13"/>
      <c r="E26" s="13"/>
      <c r="F26" s="13"/>
      <c r="G26" s="13"/>
      <c r="H26" s="13"/>
      <c r="I26" s="13"/>
      <c r="J26" s="32"/>
      <c r="K26" s="32"/>
      <c r="L26" s="32"/>
      <c r="M26" s="13"/>
      <c r="N26" s="13"/>
      <c r="O26" s="13"/>
      <c r="P26" s="13"/>
    </row>
    <row r="27" spans="1:16" ht="20.25" x14ac:dyDescent="0.5">
      <c r="A27" s="2"/>
      <c r="B27" s="12" t="s">
        <v>98</v>
      </c>
      <c r="C27" s="13" t="s">
        <v>32</v>
      </c>
      <c r="D27" s="13" t="s">
        <v>32</v>
      </c>
      <c r="E27" s="13" t="s">
        <v>43</v>
      </c>
      <c r="F27" s="13" t="s">
        <v>37</v>
      </c>
      <c r="G27" s="13" t="s">
        <v>32</v>
      </c>
      <c r="H27" s="13" t="s">
        <v>62</v>
      </c>
      <c r="I27" s="13" t="s">
        <v>32</v>
      </c>
      <c r="J27" s="32" t="s">
        <v>32</v>
      </c>
      <c r="K27" s="32" t="s">
        <v>39</v>
      </c>
      <c r="L27" s="32" t="s">
        <v>32</v>
      </c>
      <c r="M27" s="13" t="s">
        <v>32</v>
      </c>
      <c r="N27" s="13" t="s">
        <v>32</v>
      </c>
      <c r="O27" s="13" t="s">
        <v>32</v>
      </c>
      <c r="P27" s="13" t="s">
        <v>32</v>
      </c>
    </row>
    <row r="28" spans="1:16" ht="20.25" x14ac:dyDescent="0.5">
      <c r="A28" s="2"/>
      <c r="B28" s="12" t="s">
        <v>99</v>
      </c>
      <c r="C28" s="13"/>
      <c r="D28" s="13"/>
      <c r="E28" s="13"/>
      <c r="F28" s="13"/>
      <c r="G28" s="13"/>
      <c r="H28" s="13"/>
      <c r="I28" s="57"/>
      <c r="J28" s="58"/>
      <c r="K28" s="32"/>
      <c r="L28" s="32"/>
      <c r="M28" s="13"/>
      <c r="N28" s="13"/>
      <c r="O28" s="13"/>
      <c r="P28" s="13"/>
    </row>
    <row r="29" spans="1:16" ht="20.25" x14ac:dyDescent="0.5">
      <c r="A29" s="2"/>
      <c r="B29" s="12" t="s">
        <v>40</v>
      </c>
      <c r="C29" s="13" t="s">
        <v>32</v>
      </c>
      <c r="D29" s="13" t="s">
        <v>32</v>
      </c>
      <c r="E29" s="13" t="s">
        <v>32</v>
      </c>
      <c r="F29" s="13" t="s">
        <v>32</v>
      </c>
      <c r="G29" s="13" t="s">
        <v>32</v>
      </c>
      <c r="H29" s="13" t="s">
        <v>32</v>
      </c>
      <c r="I29" s="13" t="s">
        <v>37</v>
      </c>
      <c r="J29" s="32" t="s">
        <v>39</v>
      </c>
      <c r="K29" s="32" t="s">
        <v>32</v>
      </c>
      <c r="L29" s="32" t="s">
        <v>39</v>
      </c>
      <c r="M29" s="13" t="s">
        <v>32</v>
      </c>
      <c r="N29" s="13" t="s">
        <v>32</v>
      </c>
      <c r="O29" s="13" t="s">
        <v>32</v>
      </c>
      <c r="P29" s="13" t="s">
        <v>32</v>
      </c>
    </row>
    <row r="30" spans="1:16" ht="20.25" x14ac:dyDescent="0.5">
      <c r="A30" s="2"/>
      <c r="B30" s="12" t="s">
        <v>41</v>
      </c>
      <c r="C30" s="13"/>
      <c r="D30" s="13"/>
      <c r="E30" s="13"/>
      <c r="F30" s="13"/>
      <c r="G30" s="13"/>
      <c r="H30" s="13"/>
      <c r="I30" s="13"/>
      <c r="J30" s="32"/>
      <c r="K30" s="32"/>
      <c r="L30" s="32"/>
      <c r="M30" s="13"/>
      <c r="N30" s="13"/>
      <c r="O30" s="13"/>
      <c r="P30" s="13"/>
    </row>
    <row r="31" spans="1:16" ht="20.25" x14ac:dyDescent="0.5">
      <c r="A31" s="2"/>
      <c r="B31" s="12" t="s">
        <v>42</v>
      </c>
      <c r="C31" s="13" t="s">
        <v>36</v>
      </c>
      <c r="D31" s="13" t="s">
        <v>62</v>
      </c>
      <c r="E31" s="13" t="s">
        <v>36</v>
      </c>
      <c r="F31" s="13" t="s">
        <v>62</v>
      </c>
      <c r="G31" s="13" t="s">
        <v>43</v>
      </c>
      <c r="H31" s="13" t="s">
        <v>39</v>
      </c>
      <c r="I31" s="13" t="s">
        <v>37</v>
      </c>
      <c r="J31" s="32" t="s">
        <v>39</v>
      </c>
      <c r="K31" s="32" t="s">
        <v>39</v>
      </c>
      <c r="L31" s="32" t="s">
        <v>32</v>
      </c>
      <c r="M31" s="13" t="s">
        <v>32</v>
      </c>
      <c r="N31" s="13" t="s">
        <v>32</v>
      </c>
      <c r="O31" s="13" t="s">
        <v>32</v>
      </c>
      <c r="P31" s="13" t="s">
        <v>32</v>
      </c>
    </row>
    <row r="32" spans="1:16" ht="20.25" x14ac:dyDescent="0.5">
      <c r="A32" s="2"/>
      <c r="B32" s="12" t="s">
        <v>44</v>
      </c>
      <c r="C32" s="13"/>
      <c r="D32" s="13"/>
      <c r="E32" s="13"/>
      <c r="F32" s="13"/>
      <c r="G32" s="13"/>
      <c r="H32" s="13"/>
      <c r="I32" s="13"/>
      <c r="J32" s="32"/>
      <c r="K32" s="32"/>
      <c r="L32" s="32"/>
      <c r="M32" s="13"/>
      <c r="N32" s="13"/>
      <c r="O32" s="13"/>
      <c r="P32" s="13"/>
    </row>
    <row r="33" spans="1:16" ht="20.25" x14ac:dyDescent="0.5">
      <c r="A33" s="2"/>
      <c r="B33" s="12" t="s">
        <v>45</v>
      </c>
      <c r="C33" s="13"/>
      <c r="D33" s="13"/>
      <c r="E33" s="13"/>
      <c r="F33" s="13"/>
      <c r="G33" s="13"/>
      <c r="H33" s="13"/>
      <c r="I33" s="13"/>
      <c r="J33" s="32"/>
      <c r="K33" s="32"/>
      <c r="L33" s="32"/>
      <c r="M33" s="13"/>
      <c r="N33" s="13"/>
      <c r="O33" s="13"/>
      <c r="P33" s="13"/>
    </row>
    <row r="34" spans="1:16" ht="20.25" x14ac:dyDescent="0.5">
      <c r="A34" s="2"/>
      <c r="B34" s="12" t="s">
        <v>46</v>
      </c>
      <c r="C34" s="13"/>
      <c r="D34" s="13"/>
      <c r="E34" s="13"/>
      <c r="F34" s="13"/>
      <c r="G34" s="13"/>
      <c r="H34" s="13"/>
      <c r="I34" s="13"/>
      <c r="J34" s="32"/>
      <c r="K34" s="32"/>
      <c r="L34" s="32"/>
      <c r="M34" s="13"/>
      <c r="N34" s="13"/>
      <c r="O34" s="13"/>
      <c r="P34" s="13"/>
    </row>
    <row r="35" spans="1:16" ht="20.25" x14ac:dyDescent="0.5">
      <c r="A35" s="1"/>
      <c r="B35" s="12" t="s">
        <v>100</v>
      </c>
      <c r="C35" s="13" t="s">
        <v>32</v>
      </c>
      <c r="D35" s="13" t="s">
        <v>32</v>
      </c>
      <c r="E35" s="13" t="s">
        <v>32</v>
      </c>
      <c r="F35" s="13" t="s">
        <v>32</v>
      </c>
      <c r="G35" s="13" t="s">
        <v>32</v>
      </c>
      <c r="H35" s="13" t="s">
        <v>32</v>
      </c>
      <c r="I35" s="13" t="s">
        <v>32</v>
      </c>
      <c r="J35" s="32" t="s">
        <v>32</v>
      </c>
      <c r="K35" s="32" t="s">
        <v>32</v>
      </c>
      <c r="L35" s="32" t="s">
        <v>32</v>
      </c>
      <c r="M35" s="13" t="s">
        <v>43</v>
      </c>
      <c r="N35" s="13" t="s">
        <v>37</v>
      </c>
      <c r="O35" s="13" t="s">
        <v>39</v>
      </c>
      <c r="P35" s="13" t="s">
        <v>32</v>
      </c>
    </row>
    <row r="36" spans="1:16" ht="20.25" x14ac:dyDescent="0.5">
      <c r="A36" s="1"/>
      <c r="B36" s="12" t="s">
        <v>1137</v>
      </c>
      <c r="C36" s="13" t="s">
        <v>39</v>
      </c>
      <c r="D36" s="13" t="s">
        <v>39</v>
      </c>
      <c r="E36" s="13" t="s">
        <v>39</v>
      </c>
      <c r="F36" s="13" t="s">
        <v>39</v>
      </c>
      <c r="G36" s="13" t="s">
        <v>47</v>
      </c>
      <c r="H36" s="13" t="s">
        <v>47</v>
      </c>
      <c r="I36" s="13" t="s">
        <v>39</v>
      </c>
      <c r="J36" s="32" t="s">
        <v>47</v>
      </c>
      <c r="K36" s="32" t="s">
        <v>47</v>
      </c>
      <c r="L36" s="32" t="s">
        <v>47</v>
      </c>
      <c r="M36" s="13" t="s">
        <v>47</v>
      </c>
      <c r="N36" s="13" t="s">
        <v>32</v>
      </c>
      <c r="O36" s="13" t="s">
        <v>32</v>
      </c>
      <c r="P36" s="13" t="s">
        <v>32</v>
      </c>
    </row>
    <row r="37" spans="1:16" ht="20.25" x14ac:dyDescent="0.5">
      <c r="A37" s="1"/>
      <c r="B37" s="14" t="s">
        <v>48</v>
      </c>
      <c r="C37" s="17"/>
      <c r="D37" s="17"/>
      <c r="E37" s="17"/>
      <c r="F37" s="17"/>
      <c r="G37" s="17"/>
      <c r="H37" s="17"/>
      <c r="I37" s="17"/>
      <c r="J37" s="33"/>
      <c r="K37" s="33"/>
      <c r="L37" s="33"/>
      <c r="M37" s="17"/>
      <c r="N37" s="17"/>
      <c r="O37" s="17"/>
      <c r="P37" s="17"/>
    </row>
    <row r="38" spans="1:16" ht="20.25" x14ac:dyDescent="0.5">
      <c r="A38" s="1"/>
      <c r="B38" s="43" t="s">
        <v>49</v>
      </c>
      <c r="C38" s="53"/>
      <c r="D38" s="54"/>
      <c r="E38" s="54"/>
      <c r="F38" s="54"/>
      <c r="G38" s="54"/>
      <c r="H38" s="54"/>
      <c r="I38" s="54"/>
      <c r="J38" s="55"/>
      <c r="K38" s="55"/>
      <c r="L38" s="55"/>
      <c r="M38" s="54"/>
      <c r="N38" s="54"/>
      <c r="O38" s="54"/>
      <c r="P38" s="56"/>
    </row>
    <row r="39" spans="1:16" ht="20.25" hidden="1" x14ac:dyDescent="0.5">
      <c r="A39" s="1"/>
      <c r="B39" s="43" t="s">
        <v>50</v>
      </c>
      <c r="C39" s="22" t="s">
        <v>32</v>
      </c>
      <c r="D39" s="22"/>
      <c r="E39" s="22" t="s">
        <v>32</v>
      </c>
      <c r="F39" s="22"/>
      <c r="G39" s="22" t="s">
        <v>51</v>
      </c>
      <c r="H39" s="22" t="s">
        <v>51</v>
      </c>
      <c r="I39" s="22" t="s">
        <v>32</v>
      </c>
      <c r="J39" s="38" t="s">
        <v>51</v>
      </c>
      <c r="K39" s="38" t="s">
        <v>52</v>
      </c>
      <c r="L39" s="38" t="s">
        <v>52</v>
      </c>
      <c r="M39" s="22" t="s">
        <v>52</v>
      </c>
      <c r="N39" s="22" t="s">
        <v>53</v>
      </c>
      <c r="O39" s="22" t="s">
        <v>54</v>
      </c>
      <c r="P39" s="22" t="s">
        <v>55</v>
      </c>
    </row>
    <row r="40" spans="1:16" ht="20.25" x14ac:dyDescent="0.5">
      <c r="A40" s="1"/>
      <c r="B40" s="11" t="s">
        <v>56</v>
      </c>
      <c r="C40" s="27" t="s">
        <v>32</v>
      </c>
      <c r="D40" s="27" t="s">
        <v>52</v>
      </c>
      <c r="E40" s="27" t="s">
        <v>32</v>
      </c>
      <c r="F40" s="27" t="s">
        <v>52</v>
      </c>
      <c r="G40" s="27" t="s">
        <v>57</v>
      </c>
      <c r="H40" s="27" t="s">
        <v>57</v>
      </c>
      <c r="I40" s="27" t="s">
        <v>58</v>
      </c>
      <c r="J40" s="34" t="s">
        <v>55</v>
      </c>
      <c r="K40" s="34" t="s">
        <v>55</v>
      </c>
      <c r="L40" s="34" t="s">
        <v>55</v>
      </c>
      <c r="M40" s="27" t="s">
        <v>55</v>
      </c>
      <c r="N40" s="27" t="s">
        <v>55</v>
      </c>
      <c r="O40" s="27" t="s">
        <v>58</v>
      </c>
      <c r="P40" s="27" t="s">
        <v>59</v>
      </c>
    </row>
    <row r="41" spans="1:16" ht="20.25" x14ac:dyDescent="0.5">
      <c r="A41" s="1"/>
      <c r="B41" s="12" t="s">
        <v>60</v>
      </c>
      <c r="C41" s="20" t="s">
        <v>32</v>
      </c>
      <c r="D41" s="20" t="s">
        <v>39</v>
      </c>
      <c r="E41" s="20" t="s">
        <v>32</v>
      </c>
      <c r="F41" s="20" t="s">
        <v>39</v>
      </c>
      <c r="G41" s="20" t="s">
        <v>37</v>
      </c>
      <c r="H41" s="20" t="s">
        <v>37</v>
      </c>
      <c r="I41" s="20" t="s">
        <v>43</v>
      </c>
      <c r="J41" s="35" t="s">
        <v>61</v>
      </c>
      <c r="K41" s="35" t="s">
        <v>61</v>
      </c>
      <c r="L41" s="35" t="s">
        <v>61</v>
      </c>
      <c r="M41" s="20" t="s">
        <v>61</v>
      </c>
      <c r="N41" s="20" t="s">
        <v>61</v>
      </c>
      <c r="O41" s="20" t="s">
        <v>43</v>
      </c>
      <c r="P41" s="20" t="s">
        <v>62</v>
      </c>
    </row>
    <row r="42" spans="1:16" ht="20.25" x14ac:dyDescent="0.5">
      <c r="A42" s="1"/>
      <c r="B42" s="12" t="s">
        <v>63</v>
      </c>
      <c r="C42" s="13"/>
      <c r="D42" s="13" t="s">
        <v>64</v>
      </c>
      <c r="E42" s="13"/>
      <c r="F42" s="13" t="s">
        <v>64</v>
      </c>
      <c r="G42" s="13" t="s">
        <v>64</v>
      </c>
      <c r="H42" s="13" t="s">
        <v>64</v>
      </c>
      <c r="I42" s="13" t="s">
        <v>64</v>
      </c>
      <c r="J42" s="13" t="s">
        <v>64</v>
      </c>
      <c r="K42" s="13" t="s">
        <v>64</v>
      </c>
      <c r="L42" s="13" t="s">
        <v>64</v>
      </c>
      <c r="M42" s="13" t="s">
        <v>64</v>
      </c>
      <c r="N42" s="13" t="s">
        <v>64</v>
      </c>
      <c r="O42" s="13" t="s">
        <v>64</v>
      </c>
      <c r="P42" s="13" t="s">
        <v>65</v>
      </c>
    </row>
    <row r="43" spans="1:16" ht="20.25" x14ac:dyDescent="0.5">
      <c r="A43" s="1"/>
      <c r="B43" s="12" t="s">
        <v>66</v>
      </c>
      <c r="C43" s="13"/>
      <c r="D43" s="13"/>
      <c r="E43" s="13"/>
      <c r="F43" s="13"/>
      <c r="G43" s="13"/>
      <c r="H43" s="13"/>
      <c r="I43" s="13"/>
      <c r="J43" s="32"/>
      <c r="K43" s="32"/>
      <c r="L43" s="32"/>
      <c r="M43" s="13"/>
      <c r="N43" s="13"/>
      <c r="O43" s="13"/>
      <c r="P43" s="13" t="s">
        <v>67</v>
      </c>
    </row>
    <row r="44" spans="1:16" ht="20.25" x14ac:dyDescent="0.5">
      <c r="A44" s="1"/>
      <c r="B44" s="12" t="s">
        <v>68</v>
      </c>
      <c r="C44" s="13"/>
      <c r="D44" s="13"/>
      <c r="E44" s="13"/>
      <c r="F44" s="13"/>
      <c r="G44" s="13"/>
      <c r="H44" s="13"/>
      <c r="I44" s="13"/>
      <c r="J44" s="32"/>
      <c r="K44" s="32"/>
      <c r="L44" s="32"/>
      <c r="M44" s="13"/>
      <c r="N44" s="13"/>
      <c r="O44" s="13"/>
      <c r="P44" s="13" t="s">
        <v>14</v>
      </c>
    </row>
    <row r="45" spans="1:16" ht="20.25" x14ac:dyDescent="0.5">
      <c r="A45" s="1"/>
      <c r="B45" s="12" t="s">
        <v>69</v>
      </c>
      <c r="C45" s="21"/>
      <c r="D45" s="21"/>
      <c r="E45" s="21"/>
      <c r="F45" s="21"/>
      <c r="G45" s="21"/>
      <c r="H45" s="21"/>
      <c r="I45" s="21"/>
      <c r="J45" s="36"/>
      <c r="K45" s="36"/>
      <c r="L45" s="36"/>
      <c r="M45" s="21"/>
      <c r="N45" s="21"/>
      <c r="O45" s="21"/>
      <c r="P45" s="21" t="s">
        <v>70</v>
      </c>
    </row>
    <row r="46" spans="1:16" ht="20.25" x14ac:dyDescent="0.5">
      <c r="A46" s="1"/>
      <c r="B46" s="12" t="s">
        <v>71</v>
      </c>
      <c r="C46" s="20" t="s">
        <v>32</v>
      </c>
      <c r="D46" s="20" t="s">
        <v>39</v>
      </c>
      <c r="E46" s="20" t="s">
        <v>32</v>
      </c>
      <c r="F46" s="20" t="s">
        <v>39</v>
      </c>
      <c r="G46" s="20" t="s">
        <v>37</v>
      </c>
      <c r="H46" s="20" t="s">
        <v>37</v>
      </c>
      <c r="I46" s="20" t="s">
        <v>43</v>
      </c>
      <c r="J46" s="35" t="s">
        <v>61</v>
      </c>
      <c r="K46" s="35" t="s">
        <v>61</v>
      </c>
      <c r="L46" s="35" t="s">
        <v>61</v>
      </c>
      <c r="M46" s="20" t="s">
        <v>61</v>
      </c>
      <c r="N46" s="20" t="s">
        <v>61</v>
      </c>
      <c r="O46" s="20" t="s">
        <v>43</v>
      </c>
      <c r="P46" s="20" t="s">
        <v>62</v>
      </c>
    </row>
    <row r="47" spans="1:16" ht="20.25" x14ac:dyDescent="0.5">
      <c r="A47" s="1"/>
      <c r="B47" s="12" t="s">
        <v>63</v>
      </c>
      <c r="C47" s="13" t="s">
        <v>32</v>
      </c>
      <c r="D47" s="13" t="s">
        <v>64</v>
      </c>
      <c r="E47" s="13" t="s">
        <v>32</v>
      </c>
      <c r="F47" s="13" t="s">
        <v>64</v>
      </c>
      <c r="G47" s="13" t="s">
        <v>64</v>
      </c>
      <c r="H47" s="13" t="s">
        <v>64</v>
      </c>
      <c r="I47" s="13" t="s">
        <v>64</v>
      </c>
      <c r="J47" s="13" t="s">
        <v>64</v>
      </c>
      <c r="K47" s="13" t="s">
        <v>64</v>
      </c>
      <c r="L47" s="13" t="s">
        <v>64</v>
      </c>
      <c r="M47" s="13" t="s">
        <v>64</v>
      </c>
      <c r="N47" s="13" t="s">
        <v>64</v>
      </c>
      <c r="O47" s="13" t="s">
        <v>64</v>
      </c>
      <c r="P47" s="13"/>
    </row>
    <row r="48" spans="1:16" ht="20.25" x14ac:dyDescent="0.5">
      <c r="A48" s="1"/>
      <c r="B48" s="12" t="s">
        <v>66</v>
      </c>
      <c r="C48" s="13"/>
      <c r="D48" s="13"/>
      <c r="E48" s="13"/>
      <c r="F48" s="13"/>
      <c r="G48" s="13"/>
      <c r="H48" s="13"/>
      <c r="I48" s="13"/>
      <c r="J48" s="32"/>
      <c r="K48" s="32"/>
      <c r="L48" s="32"/>
      <c r="M48" s="13"/>
      <c r="N48" s="13"/>
      <c r="O48" s="13"/>
      <c r="P48" s="13"/>
    </row>
    <row r="49" spans="1:16" ht="20.25" x14ac:dyDescent="0.5">
      <c r="A49" s="1"/>
      <c r="B49" s="14" t="s">
        <v>68</v>
      </c>
      <c r="C49" s="17"/>
      <c r="D49" s="17"/>
      <c r="E49" s="17"/>
      <c r="F49" s="17"/>
      <c r="G49" s="17"/>
      <c r="H49" s="17"/>
      <c r="I49" s="17"/>
      <c r="J49" s="33"/>
      <c r="K49" s="33"/>
      <c r="L49" s="33"/>
      <c r="M49" s="17"/>
      <c r="N49" s="17"/>
      <c r="O49" s="17"/>
      <c r="P49" s="17"/>
    </row>
    <row r="50" spans="1:16" ht="20.25" x14ac:dyDescent="0.5">
      <c r="A50" s="1"/>
      <c r="B50" s="19" t="s">
        <v>72</v>
      </c>
      <c r="C50" s="18" t="s">
        <v>32</v>
      </c>
      <c r="D50" s="18" t="s">
        <v>32</v>
      </c>
      <c r="E50" s="18" t="s">
        <v>32</v>
      </c>
      <c r="F50" s="18" t="s">
        <v>32</v>
      </c>
      <c r="G50" s="18" t="s">
        <v>32</v>
      </c>
      <c r="H50" s="18" t="s">
        <v>32</v>
      </c>
      <c r="I50" s="18" t="s">
        <v>32</v>
      </c>
      <c r="J50" s="37" t="s">
        <v>32</v>
      </c>
      <c r="K50" s="37" t="s">
        <v>32</v>
      </c>
      <c r="L50" s="37" t="s">
        <v>32</v>
      </c>
      <c r="M50" s="18" t="s">
        <v>32</v>
      </c>
      <c r="N50" s="18" t="s">
        <v>73</v>
      </c>
      <c r="O50" s="18" t="s">
        <v>73</v>
      </c>
      <c r="P50" s="18" t="s">
        <v>73</v>
      </c>
    </row>
    <row r="51" spans="1:16" ht="20.25" x14ac:dyDescent="0.5">
      <c r="A51" s="1"/>
      <c r="B51" s="19" t="s">
        <v>74</v>
      </c>
      <c r="C51" s="22"/>
      <c r="D51" s="22"/>
      <c r="E51" s="22"/>
      <c r="F51" s="22"/>
      <c r="G51" s="22"/>
      <c r="H51" s="22"/>
      <c r="I51" s="22"/>
      <c r="J51" s="38"/>
      <c r="K51" s="38"/>
      <c r="L51" s="38"/>
      <c r="M51" s="22"/>
      <c r="N51" s="22"/>
      <c r="O51" s="22"/>
      <c r="P51" s="22"/>
    </row>
    <row r="52" spans="1:16" ht="20.25" x14ac:dyDescent="0.5">
      <c r="A52" s="1"/>
      <c r="B52" s="12" t="s">
        <v>75</v>
      </c>
      <c r="C52" s="13" t="s">
        <v>32</v>
      </c>
      <c r="D52" s="13" t="s">
        <v>32</v>
      </c>
      <c r="E52" s="13" t="s">
        <v>32</v>
      </c>
      <c r="F52" s="13" t="s">
        <v>32</v>
      </c>
      <c r="G52" s="13" t="s">
        <v>32</v>
      </c>
      <c r="H52" s="13" t="s">
        <v>32</v>
      </c>
      <c r="I52" s="13" t="s">
        <v>32</v>
      </c>
      <c r="J52" s="32" t="s">
        <v>32</v>
      </c>
      <c r="K52" s="32" t="s">
        <v>32</v>
      </c>
      <c r="L52" s="32" t="s">
        <v>32</v>
      </c>
      <c r="M52" s="13" t="s">
        <v>32</v>
      </c>
      <c r="N52" s="13" t="s">
        <v>47</v>
      </c>
      <c r="O52" s="13" t="s">
        <v>47</v>
      </c>
      <c r="P52" s="13" t="s">
        <v>47</v>
      </c>
    </row>
    <row r="53" spans="1:16" ht="20.25" x14ac:dyDescent="0.5">
      <c r="A53" s="1"/>
      <c r="B53" s="14" t="s">
        <v>76</v>
      </c>
      <c r="C53" s="17" t="s">
        <v>32</v>
      </c>
      <c r="D53" s="17" t="s">
        <v>32</v>
      </c>
      <c r="E53" s="17" t="s">
        <v>32</v>
      </c>
      <c r="F53" s="17" t="s">
        <v>32</v>
      </c>
      <c r="G53" s="17" t="s">
        <v>32</v>
      </c>
      <c r="H53" s="17" t="s">
        <v>32</v>
      </c>
      <c r="I53" s="17" t="s">
        <v>32</v>
      </c>
      <c r="J53" s="33" t="s">
        <v>32</v>
      </c>
      <c r="K53" s="33" t="s">
        <v>32</v>
      </c>
      <c r="L53" s="33" t="s">
        <v>32</v>
      </c>
      <c r="M53" s="17" t="s">
        <v>32</v>
      </c>
      <c r="N53" s="17" t="s">
        <v>47</v>
      </c>
      <c r="O53" s="17" t="s">
        <v>47</v>
      </c>
      <c r="P53" s="17" t="s">
        <v>47</v>
      </c>
    </row>
    <row r="54" spans="1:16" ht="20.25" x14ac:dyDescent="0.5">
      <c r="A54" s="1"/>
      <c r="B54" s="23" t="s">
        <v>77</v>
      </c>
      <c r="C54" s="27" t="s">
        <v>32</v>
      </c>
      <c r="D54" s="27" t="s">
        <v>32</v>
      </c>
      <c r="E54" s="27" t="s">
        <v>32</v>
      </c>
      <c r="F54" s="27" t="s">
        <v>32</v>
      </c>
      <c r="G54" s="27" t="s">
        <v>78</v>
      </c>
      <c r="H54" s="27" t="s">
        <v>78</v>
      </c>
      <c r="I54" s="27" t="s">
        <v>32</v>
      </c>
      <c r="J54" s="34" t="s">
        <v>78</v>
      </c>
      <c r="K54" s="34" t="s">
        <v>78</v>
      </c>
      <c r="L54" s="34" t="s">
        <v>78</v>
      </c>
      <c r="M54" s="27" t="s">
        <v>78</v>
      </c>
      <c r="N54" s="27" t="s">
        <v>78</v>
      </c>
      <c r="O54" s="27" t="s">
        <v>78</v>
      </c>
      <c r="P54" s="27" t="s">
        <v>78</v>
      </c>
    </row>
    <row r="55" spans="1:16" ht="20.25" x14ac:dyDescent="0.5">
      <c r="A55" s="1"/>
      <c r="B55" s="19" t="s">
        <v>79</v>
      </c>
      <c r="C55" s="27" t="s">
        <v>32</v>
      </c>
      <c r="D55" s="27" t="s">
        <v>32</v>
      </c>
      <c r="E55" s="27" t="s">
        <v>32</v>
      </c>
      <c r="F55" s="27" t="s">
        <v>32</v>
      </c>
      <c r="G55" s="27" t="s">
        <v>78</v>
      </c>
      <c r="H55" s="27" t="s">
        <v>78</v>
      </c>
      <c r="I55" s="27" t="s">
        <v>32</v>
      </c>
      <c r="J55" s="34" t="s">
        <v>78</v>
      </c>
      <c r="K55" s="34" t="s">
        <v>78</v>
      </c>
      <c r="L55" s="34" t="s">
        <v>78</v>
      </c>
      <c r="M55" s="27" t="s">
        <v>78</v>
      </c>
      <c r="N55" s="27" t="s">
        <v>78</v>
      </c>
      <c r="O55" s="27" t="s">
        <v>78</v>
      </c>
      <c r="P55" s="27" t="s">
        <v>78</v>
      </c>
    </row>
    <row r="56" spans="1:16" ht="20.25" x14ac:dyDescent="0.5">
      <c r="A56" s="1"/>
      <c r="B56" s="12" t="s">
        <v>80</v>
      </c>
      <c r="C56" s="13" t="s">
        <v>32</v>
      </c>
      <c r="D56" s="13" t="s">
        <v>32</v>
      </c>
      <c r="E56" s="13" t="s">
        <v>32</v>
      </c>
      <c r="F56" s="13" t="s">
        <v>32</v>
      </c>
      <c r="G56" s="13" t="s">
        <v>47</v>
      </c>
      <c r="H56" s="13" t="s">
        <v>32</v>
      </c>
      <c r="I56" s="13" t="s">
        <v>32</v>
      </c>
      <c r="J56" s="32" t="s">
        <v>32</v>
      </c>
      <c r="K56" s="32" t="s">
        <v>32</v>
      </c>
      <c r="L56" s="32" t="s">
        <v>32</v>
      </c>
      <c r="M56" s="13" t="s">
        <v>32</v>
      </c>
      <c r="N56" s="13" t="s">
        <v>32</v>
      </c>
      <c r="O56" s="13" t="s">
        <v>32</v>
      </c>
      <c r="P56" s="13" t="s">
        <v>32</v>
      </c>
    </row>
    <row r="57" spans="1:16" ht="20.25" x14ac:dyDescent="0.5">
      <c r="A57" s="1"/>
      <c r="B57" s="12" t="s">
        <v>81</v>
      </c>
      <c r="C57" s="13" t="s">
        <v>32</v>
      </c>
      <c r="D57" s="13" t="s">
        <v>32</v>
      </c>
      <c r="E57" s="13" t="s">
        <v>32</v>
      </c>
      <c r="F57" s="13" t="s">
        <v>32</v>
      </c>
      <c r="G57" s="13" t="s">
        <v>32</v>
      </c>
      <c r="H57" s="13" t="s">
        <v>47</v>
      </c>
      <c r="I57" s="13" t="s">
        <v>32</v>
      </c>
      <c r="J57" s="32" t="s">
        <v>47</v>
      </c>
      <c r="K57" s="32" t="s">
        <v>47</v>
      </c>
      <c r="L57" s="32" t="s">
        <v>47</v>
      </c>
      <c r="M57" s="13" t="s">
        <v>32</v>
      </c>
      <c r="N57" s="13" t="s">
        <v>32</v>
      </c>
      <c r="O57" s="13" t="s">
        <v>32</v>
      </c>
      <c r="P57" s="13" t="s">
        <v>32</v>
      </c>
    </row>
    <row r="58" spans="1:16" ht="20.25" x14ac:dyDescent="0.5">
      <c r="A58" s="1"/>
      <c r="B58" s="14" t="s">
        <v>82</v>
      </c>
      <c r="C58" s="17" t="s">
        <v>32</v>
      </c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33" t="s">
        <v>32</v>
      </c>
      <c r="K58" s="33" t="s">
        <v>32</v>
      </c>
      <c r="L58" s="33" t="s">
        <v>32</v>
      </c>
      <c r="M58" s="17" t="s">
        <v>47</v>
      </c>
      <c r="N58" s="17" t="s">
        <v>47</v>
      </c>
      <c r="O58" s="17" t="s">
        <v>47</v>
      </c>
      <c r="P58" s="17" t="s">
        <v>47</v>
      </c>
    </row>
    <row r="59" spans="1:16" ht="40.5" x14ac:dyDescent="0.2">
      <c r="A59" s="1"/>
      <c r="B59" s="24" t="s">
        <v>101</v>
      </c>
      <c r="C59" s="25" t="s">
        <v>32</v>
      </c>
      <c r="D59" s="25" t="s">
        <v>32</v>
      </c>
      <c r="E59" s="25" t="s">
        <v>32</v>
      </c>
      <c r="F59" s="25" t="s">
        <v>32</v>
      </c>
      <c r="G59" s="25" t="s">
        <v>32</v>
      </c>
      <c r="H59" s="25" t="s">
        <v>32</v>
      </c>
      <c r="I59" s="25" t="s">
        <v>32</v>
      </c>
      <c r="J59" s="39" t="s">
        <v>73</v>
      </c>
      <c r="K59" s="39" t="s">
        <v>73</v>
      </c>
      <c r="L59" s="39" t="s">
        <v>73</v>
      </c>
      <c r="M59" s="25" t="s">
        <v>73</v>
      </c>
      <c r="N59" s="25" t="s">
        <v>73</v>
      </c>
      <c r="O59" s="25" t="s">
        <v>73</v>
      </c>
      <c r="P59" s="25" t="s">
        <v>73</v>
      </c>
    </row>
    <row r="60" spans="1:16" ht="20.25" x14ac:dyDescent="0.5">
      <c r="A60" s="1"/>
      <c r="B60" s="12" t="s">
        <v>83</v>
      </c>
      <c r="C60" s="13"/>
      <c r="D60" s="13"/>
      <c r="E60" s="13"/>
      <c r="F60" s="13"/>
      <c r="G60" s="13"/>
      <c r="H60" s="13"/>
      <c r="I60" s="13"/>
      <c r="J60" s="32"/>
      <c r="K60" s="32"/>
      <c r="L60" s="32"/>
      <c r="M60" s="13"/>
      <c r="N60" s="13"/>
      <c r="O60" s="13"/>
      <c r="P60" s="13"/>
    </row>
    <row r="61" spans="1:16" ht="20.25" x14ac:dyDescent="0.5">
      <c r="A61" s="1"/>
      <c r="B61" s="12" t="s">
        <v>84</v>
      </c>
      <c r="C61" s="13"/>
      <c r="D61" s="13"/>
      <c r="E61" s="13"/>
      <c r="F61" s="13"/>
      <c r="G61" s="13"/>
      <c r="H61" s="13"/>
      <c r="I61" s="13"/>
      <c r="J61" s="32"/>
      <c r="K61" s="32"/>
      <c r="L61" s="32"/>
      <c r="M61" s="13"/>
      <c r="N61" s="13"/>
      <c r="O61" s="13"/>
      <c r="P61" s="13"/>
    </row>
    <row r="62" spans="1:16" ht="20.25" x14ac:dyDescent="0.5">
      <c r="A62" s="1"/>
      <c r="B62" s="12" t="s">
        <v>85</v>
      </c>
      <c r="C62" s="13"/>
      <c r="D62" s="13"/>
      <c r="E62" s="13"/>
      <c r="F62" s="13"/>
      <c r="G62" s="13"/>
      <c r="H62" s="13"/>
      <c r="I62" s="13"/>
      <c r="J62" s="32"/>
      <c r="K62" s="32"/>
      <c r="L62" s="32"/>
      <c r="M62" s="13"/>
      <c r="N62" s="13"/>
      <c r="O62" s="13"/>
      <c r="P62" s="13"/>
    </row>
    <row r="63" spans="1:16" ht="20.25" x14ac:dyDescent="0.5">
      <c r="A63" s="1"/>
      <c r="B63" s="14" t="s">
        <v>86</v>
      </c>
      <c r="C63" s="17"/>
      <c r="D63" s="17"/>
      <c r="E63" s="17"/>
      <c r="F63" s="17"/>
      <c r="G63" s="17"/>
      <c r="H63" s="17"/>
      <c r="I63" s="17"/>
      <c r="J63" s="33"/>
      <c r="K63" s="33"/>
      <c r="L63" s="33"/>
      <c r="M63" s="17"/>
      <c r="N63" s="17"/>
      <c r="O63" s="17"/>
      <c r="P63" s="17"/>
    </row>
    <row r="64" spans="1:16" ht="22.5" x14ac:dyDescent="0.2">
      <c r="A64" s="7"/>
      <c r="B64" s="2131" t="s">
        <v>87</v>
      </c>
      <c r="C64" s="2132"/>
      <c r="D64" s="2132"/>
      <c r="E64" s="2132"/>
      <c r="F64" s="2132"/>
      <c r="G64" s="2132"/>
      <c r="H64" s="2132"/>
      <c r="I64" s="2132"/>
      <c r="J64" s="2132"/>
      <c r="K64" s="2132"/>
      <c r="L64" s="2132"/>
      <c r="M64" s="2132"/>
      <c r="N64" s="2132"/>
      <c r="O64" s="2132"/>
      <c r="P64" s="2133"/>
    </row>
    <row r="65" spans="2:16" ht="20.25" x14ac:dyDescent="0.5">
      <c r="B65" s="23" t="s">
        <v>88</v>
      </c>
      <c r="C65" s="27" t="s">
        <v>52</v>
      </c>
      <c r="D65" s="27" t="s">
        <v>52</v>
      </c>
      <c r="E65" s="27" t="s">
        <v>52</v>
      </c>
      <c r="F65" s="27" t="s">
        <v>52</v>
      </c>
      <c r="G65" s="27" t="s">
        <v>52</v>
      </c>
      <c r="H65" s="27" t="s">
        <v>52</v>
      </c>
      <c r="I65" s="27" t="s">
        <v>52</v>
      </c>
      <c r="J65" s="34" t="s">
        <v>52</v>
      </c>
      <c r="K65" s="34" t="s">
        <v>52</v>
      </c>
      <c r="L65" s="34" t="s">
        <v>52</v>
      </c>
      <c r="M65" s="27" t="s">
        <v>52</v>
      </c>
      <c r="N65" s="27" t="s">
        <v>52</v>
      </c>
      <c r="O65" s="27" t="s">
        <v>52</v>
      </c>
      <c r="P65" s="27" t="s">
        <v>52</v>
      </c>
    </row>
    <row r="66" spans="2:16" ht="20.25" x14ac:dyDescent="0.5">
      <c r="B66" s="26" t="s">
        <v>89</v>
      </c>
      <c r="C66" s="45" t="s">
        <v>90</v>
      </c>
      <c r="D66" s="45" t="s">
        <v>90</v>
      </c>
      <c r="E66" s="45" t="s">
        <v>90</v>
      </c>
      <c r="F66" s="45" t="s">
        <v>90</v>
      </c>
      <c r="G66" s="45" t="s">
        <v>90</v>
      </c>
      <c r="H66" s="45" t="s">
        <v>90</v>
      </c>
      <c r="I66" s="45" t="s">
        <v>90</v>
      </c>
      <c r="J66" s="45" t="s">
        <v>90</v>
      </c>
      <c r="K66" s="45" t="s">
        <v>90</v>
      </c>
      <c r="L66" s="45" t="s">
        <v>90</v>
      </c>
      <c r="M66" s="45" t="s">
        <v>90</v>
      </c>
      <c r="N66" s="45" t="s">
        <v>90</v>
      </c>
      <c r="O66" s="45" t="s">
        <v>90</v>
      </c>
      <c r="P66" s="45" t="s">
        <v>90</v>
      </c>
    </row>
    <row r="67" spans="2:16" ht="20.25" x14ac:dyDescent="0.5">
      <c r="B67" s="26" t="s">
        <v>91</v>
      </c>
      <c r="C67" s="45" t="s">
        <v>90</v>
      </c>
      <c r="D67" s="45" t="s">
        <v>90</v>
      </c>
      <c r="E67" s="45" t="s">
        <v>90</v>
      </c>
      <c r="F67" s="45" t="s">
        <v>90</v>
      </c>
      <c r="G67" s="45" t="s">
        <v>90</v>
      </c>
      <c r="H67" s="45" t="s">
        <v>90</v>
      </c>
      <c r="I67" s="45" t="s">
        <v>90</v>
      </c>
      <c r="J67" s="45" t="s">
        <v>90</v>
      </c>
      <c r="K67" s="45" t="s">
        <v>90</v>
      </c>
      <c r="L67" s="45" t="s">
        <v>90</v>
      </c>
      <c r="M67" s="44" t="s">
        <v>32</v>
      </c>
      <c r="N67" s="44" t="s">
        <v>32</v>
      </c>
      <c r="O67" s="44" t="s">
        <v>32</v>
      </c>
      <c r="P67" s="44" t="s">
        <v>32</v>
      </c>
    </row>
    <row r="68" spans="2:16" ht="20.25" x14ac:dyDescent="0.5">
      <c r="B68" s="26" t="s">
        <v>92</v>
      </c>
      <c r="C68" s="44" t="s">
        <v>32</v>
      </c>
      <c r="D68" s="44" t="s">
        <v>32</v>
      </c>
      <c r="E68" s="44" t="s">
        <v>32</v>
      </c>
      <c r="F68" s="44" t="s">
        <v>32</v>
      </c>
      <c r="G68" s="45" t="s">
        <v>90</v>
      </c>
      <c r="H68" s="45" t="s">
        <v>90</v>
      </c>
      <c r="I68" s="44" t="s">
        <v>32</v>
      </c>
      <c r="J68" s="45" t="s">
        <v>90</v>
      </c>
      <c r="K68" s="45" t="s">
        <v>90</v>
      </c>
      <c r="L68" s="45" t="s">
        <v>90</v>
      </c>
      <c r="M68" s="45" t="s">
        <v>90</v>
      </c>
      <c r="N68" s="45" t="s">
        <v>90</v>
      </c>
      <c r="O68" s="45" t="s">
        <v>90</v>
      </c>
      <c r="P68" s="45" t="s">
        <v>90</v>
      </c>
    </row>
    <row r="69" spans="2:16" ht="20.25" x14ac:dyDescent="0.5">
      <c r="B69" s="59" t="s">
        <v>102</v>
      </c>
      <c r="C69" s="10"/>
      <c r="D69" s="10"/>
      <c r="E69" s="10"/>
      <c r="F69" s="10"/>
      <c r="G69" s="10"/>
      <c r="H69" s="10"/>
      <c r="I69" s="10"/>
      <c r="J69" s="40"/>
      <c r="K69" s="40"/>
      <c r="L69" s="40"/>
      <c r="M69" s="10"/>
      <c r="N69" s="10"/>
      <c r="O69" s="10"/>
      <c r="P69" s="10"/>
    </row>
    <row r="70" spans="2:16" ht="20.25" x14ac:dyDescent="0.5">
      <c r="B70" s="59" t="s">
        <v>103</v>
      </c>
      <c r="C70" s="10"/>
      <c r="D70" s="10"/>
      <c r="E70" s="10"/>
      <c r="F70" s="10"/>
      <c r="G70" s="10"/>
      <c r="H70" s="10"/>
      <c r="I70" s="10"/>
      <c r="J70" s="40"/>
      <c r="K70" s="40"/>
      <c r="L70" s="40"/>
      <c r="M70" s="10"/>
      <c r="N70" s="10"/>
      <c r="O70" s="10"/>
      <c r="P70" s="10"/>
    </row>
    <row r="71" spans="2:16" ht="20.25" x14ac:dyDescent="0.5">
      <c r="B71" s="59" t="s">
        <v>104</v>
      </c>
      <c r="C71" s="10"/>
      <c r="D71" s="10"/>
      <c r="E71" s="10"/>
      <c r="F71" s="10"/>
      <c r="G71" s="10"/>
      <c r="H71" s="10"/>
      <c r="I71" s="10"/>
      <c r="J71" s="40"/>
      <c r="K71" s="40"/>
      <c r="L71" s="40"/>
      <c r="M71" s="10"/>
      <c r="N71" s="10"/>
      <c r="O71" s="10"/>
      <c r="P71" s="10"/>
    </row>
    <row r="72" spans="2:16" ht="20.25" x14ac:dyDescent="0.5">
      <c r="B72" s="59" t="s">
        <v>105</v>
      </c>
      <c r="C72" s="10"/>
      <c r="D72" s="10"/>
      <c r="E72" s="10"/>
      <c r="F72" s="10"/>
      <c r="G72" s="10"/>
      <c r="H72" s="10"/>
      <c r="I72" s="10"/>
      <c r="J72" s="40"/>
      <c r="K72" s="40"/>
      <c r="L72" s="40"/>
      <c r="M72" s="10"/>
      <c r="N72" s="10"/>
      <c r="O72" s="10"/>
      <c r="P72" s="10"/>
    </row>
  </sheetData>
  <sheetProtection password="DC56" sheet="1" objects="1" scenarios="1"/>
  <mergeCells count="17">
    <mergeCell ref="B21:P21"/>
    <mergeCell ref="B64:P64"/>
    <mergeCell ref="A2:P2"/>
    <mergeCell ref="P19:P20"/>
    <mergeCell ref="B18:B20"/>
    <mergeCell ref="G19:H19"/>
    <mergeCell ref="I19:J19"/>
    <mergeCell ref="K19:L19"/>
    <mergeCell ref="M19:O19"/>
    <mergeCell ref="C19:F19"/>
    <mergeCell ref="C20:D20"/>
    <mergeCell ref="E20:F20"/>
    <mergeCell ref="A1:P1"/>
    <mergeCell ref="B6:P6"/>
    <mergeCell ref="B12:P12"/>
    <mergeCell ref="B13:P13"/>
    <mergeCell ref="C18:P18"/>
  </mergeCells>
  <pageMargins left="0.39370078740157483" right="0.39370078740157483" top="0.74803149606299213" bottom="0.59055118110236227" header="0.31496062992125984" footer="0.31496062992125984"/>
  <pageSetup paperSize="9" scale="6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ColWidth="9" defaultRowHeight="12.75" x14ac:dyDescent="0.2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37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 x14ac:dyDescent="0.3">
      <c r="B2" s="1657" t="s">
        <v>1127</v>
      </c>
    </row>
    <row r="4" spans="1:10" ht="18" x14ac:dyDescent="0.2">
      <c r="A4" s="1187"/>
      <c r="B4" s="1686">
        <v>1</v>
      </c>
      <c r="C4" s="1702" t="s">
        <v>1107</v>
      </c>
      <c r="D4" s="1687"/>
      <c r="E4" s="1687"/>
      <c r="F4" s="1687"/>
      <c r="G4" s="1344"/>
      <c r="H4" s="1346"/>
      <c r="I4" s="1346"/>
      <c r="J4" s="1688"/>
    </row>
    <row r="5" spans="1:10" x14ac:dyDescent="0.2">
      <c r="A5" s="1198"/>
      <c r="B5" s="1797"/>
      <c r="C5" s="1798"/>
      <c r="D5" s="3126" t="s">
        <v>14</v>
      </c>
      <c r="E5" s="2986"/>
      <c r="F5" s="3127"/>
      <c r="G5" s="1801" t="s">
        <v>1068</v>
      </c>
      <c r="H5" s="1807" t="s">
        <v>638</v>
      </c>
      <c r="I5" s="1802" t="s">
        <v>639</v>
      </c>
      <c r="J5" s="1803" t="s">
        <v>639</v>
      </c>
    </row>
    <row r="6" spans="1:10" x14ac:dyDescent="0.2">
      <c r="A6" s="1209"/>
      <c r="B6" s="1799"/>
      <c r="C6" s="1800"/>
      <c r="D6" s="1809"/>
      <c r="E6" s="1810" t="s">
        <v>1108</v>
      </c>
      <c r="F6" s="1811"/>
      <c r="G6" s="1804" t="s">
        <v>1039</v>
      </c>
      <c r="H6" s="1805" t="s">
        <v>644</v>
      </c>
      <c r="I6" s="1805" t="s">
        <v>641</v>
      </c>
      <c r="J6" s="1806" t="s">
        <v>510</v>
      </c>
    </row>
    <row r="7" spans="1:10" x14ac:dyDescent="0.2">
      <c r="A7" s="1209"/>
      <c r="B7" s="1779"/>
      <c r="C7" s="1780" t="s">
        <v>1109</v>
      </c>
      <c r="D7" s="1812"/>
      <c r="E7" s="1813"/>
      <c r="F7" s="1814"/>
      <c r="G7" s="1781"/>
      <c r="H7" s="1782"/>
      <c r="I7" s="1782"/>
      <c r="J7" s="1783"/>
    </row>
    <row r="8" spans="1:10" x14ac:dyDescent="0.2">
      <c r="A8" s="1217"/>
      <c r="B8" s="1784"/>
      <c r="C8" s="1785" t="s">
        <v>1110</v>
      </c>
      <c r="D8" s="1815" t="s">
        <v>1128</v>
      </c>
      <c r="E8" s="1816"/>
      <c r="F8" s="1817"/>
      <c r="G8" s="1787"/>
      <c r="H8" s="1828"/>
      <c r="I8" s="1788">
        <f t="shared" ref="I8:I12" si="0">G8*H8</f>
        <v>0</v>
      </c>
      <c r="J8" s="1789">
        <f t="shared" ref="J8:J12" si="1">I8/15</f>
        <v>0</v>
      </c>
    </row>
    <row r="9" spans="1:10" hidden="1" x14ac:dyDescent="0.2">
      <c r="A9" s="1217"/>
      <c r="B9" s="1784"/>
      <c r="C9" s="1785" t="s">
        <v>1111</v>
      </c>
      <c r="D9" s="1815" t="s">
        <v>1112</v>
      </c>
      <c r="E9" s="1816"/>
      <c r="F9" s="1817"/>
      <c r="G9" s="1787"/>
      <c r="H9" s="1828"/>
      <c r="I9" s="1788">
        <f t="shared" si="0"/>
        <v>0</v>
      </c>
      <c r="J9" s="1789">
        <f t="shared" si="1"/>
        <v>0</v>
      </c>
    </row>
    <row r="10" spans="1:10" hidden="1" x14ac:dyDescent="0.2">
      <c r="A10" s="1217"/>
      <c r="B10" s="1784"/>
      <c r="C10" s="1785" t="s">
        <v>1113</v>
      </c>
      <c r="D10" s="1815" t="s">
        <v>1114</v>
      </c>
      <c r="E10" s="1816"/>
      <c r="F10" s="1817"/>
      <c r="G10" s="1787"/>
      <c r="H10" s="1828"/>
      <c r="I10" s="1788">
        <f t="shared" si="0"/>
        <v>0</v>
      </c>
      <c r="J10" s="1789">
        <f t="shared" si="1"/>
        <v>0</v>
      </c>
    </row>
    <row r="11" spans="1:10" x14ac:dyDescent="0.2">
      <c r="A11" s="1217"/>
      <c r="B11" s="1784"/>
      <c r="C11" s="1785" t="s">
        <v>1115</v>
      </c>
      <c r="D11" s="1815" t="s">
        <v>1116</v>
      </c>
      <c r="E11" s="1816"/>
      <c r="F11" s="1817"/>
      <c r="G11" s="1787"/>
      <c r="H11" s="1828"/>
      <c r="I11" s="1788">
        <f t="shared" si="0"/>
        <v>0</v>
      </c>
      <c r="J11" s="1789">
        <f t="shared" si="1"/>
        <v>0</v>
      </c>
    </row>
    <row r="12" spans="1:10" x14ac:dyDescent="0.2">
      <c r="A12" s="1217"/>
      <c r="B12" s="1784"/>
      <c r="C12" s="1785" t="s">
        <v>1117</v>
      </c>
      <c r="D12" s="1815" t="s">
        <v>1118</v>
      </c>
      <c r="E12" s="1816"/>
      <c r="F12" s="1817"/>
      <c r="G12" s="1787"/>
      <c r="H12" s="1828"/>
      <c r="I12" s="1788">
        <f t="shared" si="0"/>
        <v>0</v>
      </c>
      <c r="J12" s="1789">
        <f t="shared" si="1"/>
        <v>0</v>
      </c>
    </row>
    <row r="13" spans="1:10" x14ac:dyDescent="0.2">
      <c r="A13" s="1217"/>
      <c r="B13" s="1784"/>
      <c r="C13" s="1785" t="s">
        <v>1119</v>
      </c>
      <c r="D13" s="1815" t="s">
        <v>1120</v>
      </c>
      <c r="E13" s="1816"/>
      <c r="F13" s="1817"/>
      <c r="G13" s="1787"/>
      <c r="H13" s="1828"/>
      <c r="I13" s="1788">
        <f t="shared" ref="I13:I15" si="2">G13*H13</f>
        <v>0</v>
      </c>
      <c r="J13" s="1789">
        <f t="shared" ref="J13:J15" si="3">I13/15</f>
        <v>0</v>
      </c>
    </row>
    <row r="14" spans="1:10" x14ac:dyDescent="0.2">
      <c r="A14" s="1217"/>
      <c r="B14" s="1784"/>
      <c r="C14" s="1785" t="s">
        <v>1121</v>
      </c>
      <c r="D14" s="1815" t="s">
        <v>1157</v>
      </c>
      <c r="E14" s="1816"/>
      <c r="F14" s="1862" t="s">
        <v>1158</v>
      </c>
      <c r="G14" s="1787"/>
      <c r="H14" s="1828"/>
      <c r="I14" s="1788">
        <f t="shared" si="2"/>
        <v>0</v>
      </c>
      <c r="J14" s="1789">
        <f t="shared" si="3"/>
        <v>0</v>
      </c>
    </row>
    <row r="15" spans="1:10" x14ac:dyDescent="0.2">
      <c r="A15" s="1217"/>
      <c r="B15" s="1791"/>
      <c r="C15" s="1860" t="s">
        <v>1122</v>
      </c>
      <c r="D15" s="1861" t="s">
        <v>1156</v>
      </c>
      <c r="E15" s="1816"/>
      <c r="F15" s="1817"/>
      <c r="G15" s="1787"/>
      <c r="H15" s="1829"/>
      <c r="I15" s="1826">
        <f t="shared" si="2"/>
        <v>0</v>
      </c>
      <c r="J15" s="1827">
        <f t="shared" si="3"/>
        <v>0</v>
      </c>
    </row>
    <row r="16" spans="1:10" x14ac:dyDescent="0.2">
      <c r="A16" s="1217"/>
      <c r="B16" s="1797"/>
      <c r="C16" s="1798"/>
      <c r="D16" s="1808" t="s">
        <v>862</v>
      </c>
      <c r="E16" s="1820"/>
      <c r="F16" s="1819" t="s">
        <v>1129</v>
      </c>
      <c r="G16" s="1818" t="s">
        <v>449</v>
      </c>
      <c r="H16" s="1807" t="s">
        <v>638</v>
      </c>
      <c r="I16" s="1802" t="s">
        <v>639</v>
      </c>
      <c r="J16" s="1803" t="s">
        <v>639</v>
      </c>
    </row>
    <row r="17" spans="1:10" x14ac:dyDescent="0.2">
      <c r="A17" s="1217"/>
      <c r="B17" s="1799"/>
      <c r="C17" s="1800"/>
      <c r="D17" s="1809"/>
      <c r="E17" s="1810" t="s">
        <v>1108</v>
      </c>
      <c r="F17" s="1822" t="s">
        <v>1130</v>
      </c>
      <c r="G17" s="1804" t="s">
        <v>867</v>
      </c>
      <c r="H17" s="1805" t="s">
        <v>644</v>
      </c>
      <c r="I17" s="1805" t="s">
        <v>641</v>
      </c>
      <c r="J17" s="1806" t="s">
        <v>510</v>
      </c>
    </row>
    <row r="18" spans="1:10" x14ac:dyDescent="0.2">
      <c r="A18" s="1217"/>
      <c r="B18" s="1784"/>
      <c r="C18" s="1780" t="s">
        <v>1131</v>
      </c>
      <c r="D18" s="1786"/>
      <c r="E18" s="1786"/>
      <c r="F18" s="1786"/>
      <c r="G18" s="1790"/>
      <c r="H18" s="1830"/>
      <c r="I18" s="1788">
        <f t="shared" ref="I18:I23" si="4">G18*H18</f>
        <v>0</v>
      </c>
      <c r="J18" s="1789">
        <f t="shared" ref="J18:J23" si="5">I18/15</f>
        <v>0</v>
      </c>
    </row>
    <row r="19" spans="1:10" x14ac:dyDescent="0.2">
      <c r="A19" s="1217"/>
      <c r="B19" s="1784"/>
      <c r="C19" s="1785" t="s">
        <v>839</v>
      </c>
      <c r="D19" s="1786"/>
      <c r="E19" s="1786"/>
      <c r="F19" s="1786"/>
      <c r="G19" s="1787"/>
      <c r="H19" s="1830"/>
      <c r="I19" s="1788">
        <f t="shared" si="4"/>
        <v>0</v>
      </c>
      <c r="J19" s="1789">
        <f t="shared" si="5"/>
        <v>0</v>
      </c>
    </row>
    <row r="20" spans="1:10" x14ac:dyDescent="0.2">
      <c r="A20" s="1217"/>
      <c r="B20" s="1784"/>
      <c r="C20" s="1785" t="s">
        <v>840</v>
      </c>
      <c r="D20" s="1786"/>
      <c r="E20" s="1786"/>
      <c r="F20" s="1786"/>
      <c r="G20" s="1787"/>
      <c r="H20" s="1830"/>
      <c r="I20" s="1788">
        <f t="shared" si="4"/>
        <v>0</v>
      </c>
      <c r="J20" s="1789">
        <f t="shared" si="5"/>
        <v>0</v>
      </c>
    </row>
    <row r="21" spans="1:10" x14ac:dyDescent="0.2">
      <c r="A21" s="1217"/>
      <c r="B21" s="1784"/>
      <c r="C21" s="1785" t="s">
        <v>841</v>
      </c>
      <c r="D21" s="1786"/>
      <c r="E21" s="1786"/>
      <c r="F21" s="1786"/>
      <c r="G21" s="1787"/>
      <c r="H21" s="1830"/>
      <c r="I21" s="1788">
        <f t="shared" si="4"/>
        <v>0</v>
      </c>
      <c r="J21" s="1789">
        <f t="shared" si="5"/>
        <v>0</v>
      </c>
    </row>
    <row r="22" spans="1:10" x14ac:dyDescent="0.2">
      <c r="A22" s="1217"/>
      <c r="B22" s="1784"/>
      <c r="C22" s="1785" t="s">
        <v>842</v>
      </c>
      <c r="D22" s="1786"/>
      <c r="E22" s="1786"/>
      <c r="F22" s="1786"/>
      <c r="G22" s="1787"/>
      <c r="H22" s="1830"/>
      <c r="I22" s="1788">
        <f t="shared" si="4"/>
        <v>0</v>
      </c>
      <c r="J22" s="1789">
        <f t="shared" si="5"/>
        <v>0</v>
      </c>
    </row>
    <row r="23" spans="1:10" x14ac:dyDescent="0.2">
      <c r="B23" s="1823"/>
      <c r="C23" s="1792" t="s">
        <v>843</v>
      </c>
      <c r="D23" s="1824"/>
      <c r="E23" s="1825"/>
      <c r="F23" s="1825"/>
      <c r="G23" s="1825"/>
      <c r="H23" s="1831"/>
      <c r="I23" s="1795">
        <f t="shared" si="4"/>
        <v>0</v>
      </c>
      <c r="J23" s="1796">
        <f t="shared" si="5"/>
        <v>0</v>
      </c>
    </row>
    <row r="24" spans="1:10" x14ac:dyDescent="0.2">
      <c r="D24" s="1767"/>
    </row>
    <row r="25" spans="1:10" ht="18" x14ac:dyDescent="0.2">
      <c r="B25" s="1686">
        <v>2</v>
      </c>
      <c r="C25" s="1702" t="s">
        <v>1123</v>
      </c>
      <c r="D25" s="1687"/>
      <c r="E25" s="1687"/>
      <c r="F25" s="1687"/>
      <c r="G25" s="1344"/>
      <c r="H25" s="1346"/>
      <c r="I25" s="1346"/>
      <c r="J25" s="1688"/>
    </row>
    <row r="26" spans="1:10" x14ac:dyDescent="0.2">
      <c r="B26" s="1269"/>
      <c r="C26" s="1272"/>
      <c r="D26" s="1272" t="s">
        <v>922</v>
      </c>
      <c r="E26" s="1272"/>
      <c r="F26" s="1272"/>
      <c r="G26" s="1471" t="s">
        <v>1068</v>
      </c>
      <c r="H26" s="1807" t="s">
        <v>638</v>
      </c>
      <c r="I26" s="1537" t="s">
        <v>639</v>
      </c>
      <c r="J26" s="1538" t="s">
        <v>639</v>
      </c>
    </row>
    <row r="27" spans="1:10" x14ac:dyDescent="0.2">
      <c r="B27" s="1703"/>
      <c r="C27" s="1704"/>
      <c r="D27" s="1704"/>
      <c r="E27" s="1704"/>
      <c r="F27" s="1704"/>
      <c r="G27" s="1201" t="s">
        <v>1039</v>
      </c>
      <c r="H27" s="1805" t="s">
        <v>644</v>
      </c>
      <c r="I27" s="1320" t="s">
        <v>641</v>
      </c>
      <c r="J27" s="1321" t="s">
        <v>510</v>
      </c>
    </row>
    <row r="28" spans="1:10" x14ac:dyDescent="0.2">
      <c r="B28" s="1772"/>
      <c r="C28" s="1780" t="s">
        <v>1109</v>
      </c>
      <c r="D28" s="1773"/>
      <c r="E28" s="1773"/>
      <c r="F28" s="1773"/>
      <c r="G28" s="1774"/>
      <c r="H28" s="1775"/>
      <c r="I28" s="1775"/>
      <c r="J28" s="1776"/>
    </row>
    <row r="29" spans="1:10" ht="25.5" x14ac:dyDescent="0.2">
      <c r="B29" s="1690"/>
      <c r="C29" s="1832" t="s">
        <v>1110</v>
      </c>
      <c r="D29" s="1768" t="s">
        <v>1132</v>
      </c>
      <c r="E29" s="1675"/>
      <c r="F29" s="1841"/>
      <c r="G29" s="1221"/>
      <c r="H29" s="1842"/>
      <c r="I29" s="1222">
        <f t="shared" ref="I29:I35" si="6">G29*H29</f>
        <v>0</v>
      </c>
      <c r="J29" s="1223">
        <f t="shared" ref="J29:J34" si="7">I29/15</f>
        <v>0</v>
      </c>
    </row>
    <row r="30" spans="1:10" x14ac:dyDescent="0.2">
      <c r="B30" s="1690"/>
      <c r="C30" s="1691" t="s">
        <v>1111</v>
      </c>
      <c r="D30" s="1675" t="s">
        <v>1133</v>
      </c>
      <c r="E30" s="1675"/>
      <c r="F30" s="1675"/>
      <c r="G30" s="1558"/>
      <c r="H30" s="1843"/>
      <c r="I30" s="1426">
        <f t="shared" si="6"/>
        <v>0</v>
      </c>
      <c r="J30" s="1390">
        <f t="shared" si="7"/>
        <v>0</v>
      </c>
    </row>
    <row r="31" spans="1:10" x14ac:dyDescent="0.2">
      <c r="B31" s="1690"/>
      <c r="C31" s="1691" t="s">
        <v>1113</v>
      </c>
      <c r="D31" s="1675" t="s">
        <v>1159</v>
      </c>
      <c r="E31" s="1675"/>
      <c r="F31" s="1675"/>
      <c r="G31" s="1558"/>
      <c r="H31" s="1843"/>
      <c r="I31" s="1426">
        <f t="shared" si="6"/>
        <v>0</v>
      </c>
      <c r="J31" s="1390">
        <f t="shared" si="7"/>
        <v>0</v>
      </c>
    </row>
    <row r="32" spans="1:10" x14ac:dyDescent="0.2">
      <c r="B32" s="1690"/>
      <c r="C32" s="1691" t="s">
        <v>1119</v>
      </c>
      <c r="D32" s="1675" t="s">
        <v>1160</v>
      </c>
      <c r="E32" s="1675"/>
      <c r="F32" s="1675"/>
      <c r="G32" s="1558"/>
      <c r="H32" s="1843"/>
      <c r="I32" s="1426">
        <f>G32*H32</f>
        <v>0</v>
      </c>
      <c r="J32" s="1390">
        <f>I32/15</f>
        <v>0</v>
      </c>
    </row>
    <row r="33" spans="1:10" x14ac:dyDescent="0.2">
      <c r="B33" s="1690"/>
      <c r="C33" s="1691" t="s">
        <v>1115</v>
      </c>
      <c r="D33" s="1675" t="s">
        <v>1134</v>
      </c>
      <c r="E33" s="1675"/>
      <c r="F33" s="1675"/>
      <c r="G33" s="1558"/>
      <c r="H33" s="1843"/>
      <c r="I33" s="1426">
        <f t="shared" si="6"/>
        <v>0</v>
      </c>
      <c r="J33" s="1390">
        <f t="shared" si="7"/>
        <v>0</v>
      </c>
    </row>
    <row r="34" spans="1:10" x14ac:dyDescent="0.2">
      <c r="B34" s="1674"/>
      <c r="C34" s="1834" t="s">
        <v>1117</v>
      </c>
      <c r="D34" s="1835" t="s">
        <v>1162</v>
      </c>
      <c r="E34" s="1835"/>
      <c r="F34" s="1835"/>
      <c r="G34" s="1836"/>
      <c r="H34" s="1844"/>
      <c r="I34" s="1837">
        <f t="shared" si="6"/>
        <v>0</v>
      </c>
      <c r="J34" s="1838">
        <f t="shared" si="7"/>
        <v>0</v>
      </c>
    </row>
    <row r="35" spans="1:10" x14ac:dyDescent="0.2">
      <c r="B35" s="1674"/>
      <c r="C35" s="1839" t="s">
        <v>1119</v>
      </c>
      <c r="D35" s="1840" t="s">
        <v>1161</v>
      </c>
      <c r="E35" s="1840"/>
      <c r="F35" s="1840"/>
      <c r="G35" s="1821"/>
      <c r="H35" s="1845"/>
      <c r="I35" s="1837">
        <f t="shared" si="6"/>
        <v>0</v>
      </c>
      <c r="J35" s="1838">
        <f>I35/15</f>
        <v>0</v>
      </c>
    </row>
    <row r="36" spans="1:10" x14ac:dyDescent="0.2">
      <c r="B36" s="1863"/>
      <c r="C36" s="1864"/>
      <c r="D36" s="1865" t="s">
        <v>1163</v>
      </c>
      <c r="E36" s="1866"/>
      <c r="F36" s="1865"/>
      <c r="G36" s="1821"/>
      <c r="H36" s="1867"/>
      <c r="I36" s="1868"/>
      <c r="J36" s="1869"/>
    </row>
    <row r="37" spans="1:10" x14ac:dyDescent="0.2">
      <c r="B37" s="1863"/>
      <c r="C37" s="1864"/>
      <c r="D37" s="1865" t="s">
        <v>1164</v>
      </c>
      <c r="E37" s="1866"/>
      <c r="F37" s="1865"/>
      <c r="G37" s="1821"/>
      <c r="H37" s="1867"/>
      <c r="I37" s="1868"/>
      <c r="J37" s="1869"/>
    </row>
    <row r="38" spans="1:10" x14ac:dyDescent="0.2">
      <c r="A38" s="1217"/>
      <c r="B38" s="1797"/>
      <c r="C38" s="1798"/>
      <c r="D38" s="1808" t="s">
        <v>862</v>
      </c>
      <c r="E38" s="1820"/>
      <c r="F38" s="1808" t="s">
        <v>1135</v>
      </c>
      <c r="G38" s="1818" t="s">
        <v>449</v>
      </c>
      <c r="H38" s="1807" t="s">
        <v>638</v>
      </c>
      <c r="I38" s="1802" t="s">
        <v>639</v>
      </c>
      <c r="J38" s="1803" t="s">
        <v>639</v>
      </c>
    </row>
    <row r="39" spans="1:10" x14ac:dyDescent="0.2">
      <c r="A39" s="1217"/>
      <c r="B39" s="1799"/>
      <c r="C39" s="1800"/>
      <c r="D39" s="1809"/>
      <c r="E39" s="1810" t="s">
        <v>1108</v>
      </c>
      <c r="F39" s="1822" t="s">
        <v>929</v>
      </c>
      <c r="G39" s="1804" t="s">
        <v>867</v>
      </c>
      <c r="H39" s="1805" t="s">
        <v>644</v>
      </c>
      <c r="I39" s="1805" t="s">
        <v>641</v>
      </c>
      <c r="J39" s="1806" t="s">
        <v>510</v>
      </c>
    </row>
    <row r="40" spans="1:10" x14ac:dyDescent="0.2">
      <c r="A40" s="1217"/>
      <c r="B40" s="1784"/>
      <c r="C40" s="1780" t="s">
        <v>1126</v>
      </c>
      <c r="D40" s="1786"/>
      <c r="E40" s="1786"/>
      <c r="F40" s="1833"/>
      <c r="G40" s="1790"/>
      <c r="H40" s="1830"/>
      <c r="I40" s="1788">
        <f>G40*H40</f>
        <v>0</v>
      </c>
      <c r="J40" s="1789">
        <f>I40/15</f>
        <v>0</v>
      </c>
    </row>
    <row r="41" spans="1:10" x14ac:dyDescent="0.2">
      <c r="A41" s="1217"/>
      <c r="B41" s="1784"/>
      <c r="C41" s="1785" t="s">
        <v>839</v>
      </c>
      <c r="D41" s="1786" t="s">
        <v>1124</v>
      </c>
      <c r="E41" s="1786"/>
      <c r="F41" s="1786"/>
      <c r="G41" s="1787"/>
      <c r="H41" s="1830"/>
      <c r="I41" s="1788">
        <f t="shared" ref="I41:I45" si="8">G41*H41</f>
        <v>0</v>
      </c>
      <c r="J41" s="1789">
        <f t="shared" ref="J41:J45" si="9">I41/15</f>
        <v>0</v>
      </c>
    </row>
    <row r="42" spans="1:10" x14ac:dyDescent="0.2">
      <c r="A42" s="1217"/>
      <c r="B42" s="1784"/>
      <c r="C42" s="1785" t="s">
        <v>840</v>
      </c>
      <c r="D42" s="1786" t="s">
        <v>1124</v>
      </c>
      <c r="E42" s="1786"/>
      <c r="F42" s="1786"/>
      <c r="G42" s="1787"/>
      <c r="H42" s="1830"/>
      <c r="I42" s="1788">
        <f t="shared" si="8"/>
        <v>0</v>
      </c>
      <c r="J42" s="1789">
        <f t="shared" si="9"/>
        <v>0</v>
      </c>
    </row>
    <row r="43" spans="1:10" x14ac:dyDescent="0.2">
      <c r="A43" s="1217"/>
      <c r="B43" s="1784"/>
      <c r="C43" s="1785" t="s">
        <v>841</v>
      </c>
      <c r="D43" s="1786" t="s">
        <v>1124</v>
      </c>
      <c r="E43" s="1786"/>
      <c r="F43" s="1786"/>
      <c r="G43" s="1787"/>
      <c r="H43" s="1830"/>
      <c r="I43" s="1788">
        <f t="shared" si="8"/>
        <v>0</v>
      </c>
      <c r="J43" s="1789">
        <f t="shared" si="9"/>
        <v>0</v>
      </c>
    </row>
    <row r="44" spans="1:10" x14ac:dyDescent="0.2">
      <c r="A44" s="1217"/>
      <c r="B44" s="1784"/>
      <c r="C44" s="1785" t="s">
        <v>842</v>
      </c>
      <c r="D44" s="1786" t="s">
        <v>1124</v>
      </c>
      <c r="E44" s="1786"/>
      <c r="F44" s="1786"/>
      <c r="G44" s="1787"/>
      <c r="H44" s="1830"/>
      <c r="I44" s="1788">
        <f t="shared" si="8"/>
        <v>0</v>
      </c>
      <c r="J44" s="1789">
        <f t="shared" si="9"/>
        <v>0</v>
      </c>
    </row>
    <row r="45" spans="1:10" x14ac:dyDescent="0.2">
      <c r="A45" s="1217"/>
      <c r="B45" s="1791"/>
      <c r="C45" s="1792" t="s">
        <v>843</v>
      </c>
      <c r="D45" s="1793" t="s">
        <v>1124</v>
      </c>
      <c r="E45" s="1793"/>
      <c r="F45" s="1793"/>
      <c r="G45" s="1794"/>
      <c r="H45" s="1831"/>
      <c r="I45" s="1795">
        <f t="shared" si="8"/>
        <v>0</v>
      </c>
      <c r="J45" s="1796">
        <f t="shared" si="9"/>
        <v>0</v>
      </c>
    </row>
    <row r="47" spans="1:10" ht="18" x14ac:dyDescent="0.2">
      <c r="B47" s="1686">
        <v>3</v>
      </c>
      <c r="C47" s="1702" t="s">
        <v>1125</v>
      </c>
      <c r="D47" s="1687"/>
      <c r="E47" s="1687"/>
      <c r="F47" s="1687"/>
      <c r="G47" s="1344"/>
      <c r="H47" s="1346"/>
      <c r="I47" s="1346"/>
      <c r="J47" s="1688"/>
    </row>
    <row r="48" spans="1:10" x14ac:dyDescent="0.2">
      <c r="B48" s="1269"/>
      <c r="C48" s="1272"/>
      <c r="D48" s="1748" t="s">
        <v>922</v>
      </c>
      <c r="E48" s="1749"/>
      <c r="F48" s="1695"/>
      <c r="G48" s="1471" t="s">
        <v>1068</v>
      </c>
      <c r="H48" s="1807" t="s">
        <v>638</v>
      </c>
      <c r="I48" s="1537" t="s">
        <v>639</v>
      </c>
      <c r="J48" s="1538" t="s">
        <v>639</v>
      </c>
    </row>
    <row r="49" spans="2:10" x14ac:dyDescent="0.2">
      <c r="B49" s="1703"/>
      <c r="C49" s="1704"/>
      <c r="D49" s="1644"/>
      <c r="E49" s="1645"/>
      <c r="F49" s="1646"/>
      <c r="G49" s="1201" t="s">
        <v>1039</v>
      </c>
      <c r="H49" s="1805" t="s">
        <v>644</v>
      </c>
      <c r="I49" s="1320" t="s">
        <v>641</v>
      </c>
      <c r="J49" s="1321" t="s">
        <v>510</v>
      </c>
    </row>
    <row r="50" spans="2:10" ht="25.5" x14ac:dyDescent="0.2">
      <c r="B50" s="1690"/>
      <c r="C50" s="1832" t="s">
        <v>1110</v>
      </c>
      <c r="D50" s="1846" t="s">
        <v>1165</v>
      </c>
      <c r="E50" s="1777"/>
      <c r="F50" s="1847"/>
      <c r="G50" s="1558"/>
      <c r="H50" s="1843"/>
      <c r="I50" s="1426">
        <f t="shared" ref="I50:I54" si="10">G50*H50</f>
        <v>0</v>
      </c>
      <c r="J50" s="1390">
        <f t="shared" ref="J50:J54" si="11">I50/15</f>
        <v>0</v>
      </c>
    </row>
    <row r="51" spans="2:10" x14ac:dyDescent="0.2">
      <c r="B51" s="1690"/>
      <c r="C51" s="1691" t="s">
        <v>1111</v>
      </c>
      <c r="D51" s="1848" t="s">
        <v>1166</v>
      </c>
      <c r="E51" s="1777"/>
      <c r="F51" s="1847"/>
      <c r="G51" s="1558"/>
      <c r="H51" s="1843"/>
      <c r="I51" s="1426">
        <f t="shared" si="10"/>
        <v>0</v>
      </c>
      <c r="J51" s="1390">
        <f t="shared" si="11"/>
        <v>0</v>
      </c>
    </row>
    <row r="52" spans="2:10" x14ac:dyDescent="0.2">
      <c r="B52" s="1690"/>
      <c r="C52" s="1691" t="s">
        <v>1115</v>
      </c>
      <c r="D52" s="1848" t="s">
        <v>1167</v>
      </c>
      <c r="E52" s="1777"/>
      <c r="F52" s="1847"/>
      <c r="G52" s="1558"/>
      <c r="H52" s="1843"/>
      <c r="I52" s="1426">
        <f t="shared" si="10"/>
        <v>0</v>
      </c>
      <c r="J52" s="1390">
        <f t="shared" si="11"/>
        <v>0</v>
      </c>
    </row>
    <row r="53" spans="2:10" x14ac:dyDescent="0.2">
      <c r="B53" s="1690"/>
      <c r="C53" s="1691" t="s">
        <v>1117</v>
      </c>
      <c r="D53" s="1848" t="s">
        <v>1168</v>
      </c>
      <c r="E53" s="1777"/>
      <c r="F53" s="1847"/>
      <c r="G53" s="1558"/>
      <c r="H53" s="1843"/>
      <c r="I53" s="1426">
        <f t="shared" si="10"/>
        <v>0</v>
      </c>
      <c r="J53" s="1390">
        <f t="shared" si="11"/>
        <v>0</v>
      </c>
    </row>
    <row r="54" spans="2:10" x14ac:dyDescent="0.2">
      <c r="B54" s="1690"/>
      <c r="C54" s="1691" t="s">
        <v>1119</v>
      </c>
      <c r="D54" s="1849" t="s">
        <v>1169</v>
      </c>
      <c r="E54" s="1778"/>
      <c r="F54" s="1850"/>
      <c r="G54" s="1558"/>
      <c r="H54" s="1843"/>
      <c r="I54" s="1426">
        <f t="shared" si="10"/>
        <v>0</v>
      </c>
      <c r="J54" s="1390">
        <f t="shared" si="11"/>
        <v>0</v>
      </c>
    </row>
    <row r="55" spans="2:10" x14ac:dyDescent="0.2">
      <c r="B55" s="1863"/>
      <c r="C55" s="1870"/>
      <c r="D55" s="1866" t="s">
        <v>1170</v>
      </c>
      <c r="E55" s="1866"/>
      <c r="F55" s="1866"/>
      <c r="G55" s="1363"/>
      <c r="H55" s="1871"/>
      <c r="I55" s="1872"/>
      <c r="J55" s="1873"/>
    </row>
    <row r="56" spans="2:10" x14ac:dyDescent="0.2">
      <c r="B56" s="1797"/>
      <c r="C56" s="1798"/>
      <c r="D56" s="1808" t="s">
        <v>862</v>
      </c>
      <c r="E56" s="1820"/>
      <c r="F56" s="1819" t="s">
        <v>1129</v>
      </c>
      <c r="G56" s="1818" t="s">
        <v>449</v>
      </c>
      <c r="H56" s="1807" t="s">
        <v>638</v>
      </c>
      <c r="I56" s="1802" t="s">
        <v>639</v>
      </c>
      <c r="J56" s="1803" t="s">
        <v>639</v>
      </c>
    </row>
    <row r="57" spans="2:10" x14ac:dyDescent="0.2">
      <c r="B57" s="1799"/>
      <c r="C57" s="1800"/>
      <c r="D57" s="1809"/>
      <c r="E57" s="1810" t="s">
        <v>1108</v>
      </c>
      <c r="F57" s="1822" t="s">
        <v>1130</v>
      </c>
      <c r="G57" s="1804" t="s">
        <v>867</v>
      </c>
      <c r="H57" s="1805" t="s">
        <v>644</v>
      </c>
      <c r="I57" s="1805" t="s">
        <v>641</v>
      </c>
      <c r="J57" s="1806" t="s">
        <v>510</v>
      </c>
    </row>
    <row r="58" spans="2:10" x14ac:dyDescent="0.2">
      <c r="B58" s="1784"/>
      <c r="C58" s="1780" t="s">
        <v>1136</v>
      </c>
      <c r="D58" s="1786"/>
      <c r="E58" s="1786"/>
      <c r="F58" s="1786"/>
      <c r="G58" s="1790"/>
      <c r="H58" s="1830"/>
      <c r="I58" s="1788">
        <f t="shared" ref="I58:I63" si="12">G58*H58</f>
        <v>0</v>
      </c>
      <c r="J58" s="1789">
        <f t="shared" ref="J58:J63" si="13">I58/15</f>
        <v>0</v>
      </c>
    </row>
    <row r="59" spans="2:10" x14ac:dyDescent="0.2">
      <c r="B59" s="1784"/>
      <c r="C59" s="1785" t="s">
        <v>839</v>
      </c>
      <c r="D59" s="1786"/>
      <c r="E59" s="1786"/>
      <c r="F59" s="1786"/>
      <c r="G59" s="1787"/>
      <c r="H59" s="1830"/>
      <c r="I59" s="1788">
        <f t="shared" si="12"/>
        <v>0</v>
      </c>
      <c r="J59" s="1789">
        <f t="shared" si="13"/>
        <v>0</v>
      </c>
    </row>
    <row r="60" spans="2:10" x14ac:dyDescent="0.2">
      <c r="B60" s="1784"/>
      <c r="C60" s="1785" t="s">
        <v>840</v>
      </c>
      <c r="D60" s="1786"/>
      <c r="E60" s="1786"/>
      <c r="F60" s="1786"/>
      <c r="G60" s="1787"/>
      <c r="H60" s="1830"/>
      <c r="I60" s="1788">
        <f t="shared" si="12"/>
        <v>0</v>
      </c>
      <c r="J60" s="1789">
        <f t="shared" si="13"/>
        <v>0</v>
      </c>
    </row>
    <row r="61" spans="2:10" x14ac:dyDescent="0.2">
      <c r="B61" s="1784"/>
      <c r="C61" s="1785" t="s">
        <v>841</v>
      </c>
      <c r="D61" s="1786"/>
      <c r="E61" s="1786"/>
      <c r="F61" s="1786"/>
      <c r="G61" s="1787"/>
      <c r="H61" s="1830"/>
      <c r="I61" s="1788">
        <f t="shared" si="12"/>
        <v>0</v>
      </c>
      <c r="J61" s="1789">
        <f t="shared" si="13"/>
        <v>0</v>
      </c>
    </row>
    <row r="62" spans="2:10" x14ac:dyDescent="0.2">
      <c r="B62" s="1784"/>
      <c r="C62" s="1785" t="s">
        <v>842</v>
      </c>
      <c r="D62" s="1786"/>
      <c r="E62" s="1786"/>
      <c r="F62" s="1786"/>
      <c r="G62" s="1787"/>
      <c r="H62" s="1830"/>
      <c r="I62" s="1788">
        <f t="shared" si="12"/>
        <v>0</v>
      </c>
      <c r="J62" s="1789">
        <f t="shared" si="13"/>
        <v>0</v>
      </c>
    </row>
    <row r="63" spans="2:10" x14ac:dyDescent="0.2">
      <c r="B63" s="1823"/>
      <c r="C63" s="1792" t="s">
        <v>843</v>
      </c>
      <c r="D63" s="1824"/>
      <c r="E63" s="1825"/>
      <c r="F63" s="1825"/>
      <c r="G63" s="1825"/>
      <c r="H63" s="1831"/>
      <c r="I63" s="1795">
        <f t="shared" si="12"/>
        <v>0</v>
      </c>
      <c r="J63" s="1796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17"/>
  <sheetViews>
    <sheetView workbookViewId="0">
      <selection activeCell="O2" sqref="O2:O6"/>
    </sheetView>
  </sheetViews>
  <sheetFormatPr defaultRowHeight="14.25" x14ac:dyDescent="0.2"/>
  <sheetData>
    <row r="1" spans="1:34" x14ac:dyDescent="0.2">
      <c r="A1" t="s">
        <v>276</v>
      </c>
      <c r="C1" t="s">
        <v>277</v>
      </c>
      <c r="E1" t="s">
        <v>278</v>
      </c>
      <c r="G1" t="s">
        <v>279</v>
      </c>
      <c r="I1" t="s">
        <v>115</v>
      </c>
      <c r="K1" t="s">
        <v>280</v>
      </c>
      <c r="M1" t="s">
        <v>281</v>
      </c>
      <c r="O1" t="s">
        <v>282</v>
      </c>
      <c r="Q1" t="s">
        <v>121</v>
      </c>
      <c r="U1" t="s">
        <v>283</v>
      </c>
      <c r="W1" t="s">
        <v>284</v>
      </c>
      <c r="Y1" t="s">
        <v>285</v>
      </c>
      <c r="AA1" t="s">
        <v>286</v>
      </c>
      <c r="AD1" t="s">
        <v>287</v>
      </c>
      <c r="AF1" t="s">
        <v>288</v>
      </c>
      <c r="AH1" t="s">
        <v>289</v>
      </c>
    </row>
    <row r="2" spans="1:34" x14ac:dyDescent="0.2">
      <c r="G2" t="s">
        <v>118</v>
      </c>
      <c r="I2" t="s">
        <v>116</v>
      </c>
      <c r="Q2" t="s">
        <v>122</v>
      </c>
      <c r="AH2" s="537" t="s">
        <v>903</v>
      </c>
    </row>
    <row r="3" spans="1:34" x14ac:dyDescent="0.2">
      <c r="A3" t="s">
        <v>290</v>
      </c>
      <c r="C3" t="s">
        <v>291</v>
      </c>
      <c r="E3" t="s">
        <v>292</v>
      </c>
      <c r="G3" t="s">
        <v>293</v>
      </c>
      <c r="I3" t="s">
        <v>294</v>
      </c>
      <c r="K3" t="s">
        <v>295</v>
      </c>
      <c r="M3" t="s">
        <v>296</v>
      </c>
      <c r="O3" t="s">
        <v>293</v>
      </c>
      <c r="Q3" t="s">
        <v>21</v>
      </c>
      <c r="U3" t="s">
        <v>297</v>
      </c>
      <c r="W3" t="s">
        <v>120</v>
      </c>
      <c r="Y3" s="1525">
        <v>0.2</v>
      </c>
      <c r="AA3" t="s">
        <v>298</v>
      </c>
      <c r="AD3" t="s">
        <v>299</v>
      </c>
      <c r="AF3" t="s">
        <v>298</v>
      </c>
      <c r="AH3" s="537" t="s">
        <v>904</v>
      </c>
    </row>
    <row r="4" spans="1:34" x14ac:dyDescent="0.2">
      <c r="A4" t="s">
        <v>300</v>
      </c>
      <c r="C4" t="s">
        <v>301</v>
      </c>
      <c r="E4" t="s">
        <v>302</v>
      </c>
      <c r="G4" t="s">
        <v>303</v>
      </c>
      <c r="I4" t="s">
        <v>304</v>
      </c>
      <c r="K4" t="s">
        <v>305</v>
      </c>
      <c r="M4" t="s">
        <v>306</v>
      </c>
      <c r="O4" t="s">
        <v>303</v>
      </c>
      <c r="Q4" t="s">
        <v>334</v>
      </c>
      <c r="U4" t="s">
        <v>307</v>
      </c>
      <c r="W4" t="s">
        <v>312</v>
      </c>
      <c r="Y4" s="1525">
        <v>0.4</v>
      </c>
      <c r="AA4" t="s">
        <v>308</v>
      </c>
      <c r="AF4" t="s">
        <v>308</v>
      </c>
    </row>
    <row r="5" spans="1:34" x14ac:dyDescent="0.2">
      <c r="G5" t="s">
        <v>309</v>
      </c>
      <c r="I5" t="s">
        <v>310</v>
      </c>
      <c r="O5" t="s">
        <v>309</v>
      </c>
      <c r="Q5" t="s">
        <v>311</v>
      </c>
      <c r="Y5" s="1525">
        <v>0.6</v>
      </c>
      <c r="AA5" t="s">
        <v>313</v>
      </c>
      <c r="AF5" t="s">
        <v>313</v>
      </c>
    </row>
    <row r="6" spans="1:34" x14ac:dyDescent="0.2">
      <c r="G6" t="s">
        <v>314</v>
      </c>
      <c r="I6" t="s">
        <v>315</v>
      </c>
      <c r="O6" t="s">
        <v>316</v>
      </c>
      <c r="Q6" t="s">
        <v>332</v>
      </c>
      <c r="Y6" s="1525">
        <v>0.8</v>
      </c>
      <c r="AA6" t="s">
        <v>317</v>
      </c>
      <c r="AF6" t="s">
        <v>317</v>
      </c>
    </row>
    <row r="7" spans="1:34" x14ac:dyDescent="0.2">
      <c r="I7" t="s">
        <v>318</v>
      </c>
      <c r="Q7" t="s">
        <v>25</v>
      </c>
      <c r="Y7" s="1525">
        <v>1</v>
      </c>
      <c r="AA7" t="s">
        <v>319</v>
      </c>
      <c r="AF7" t="s">
        <v>320</v>
      </c>
    </row>
    <row r="8" spans="1:34" x14ac:dyDescent="0.2">
      <c r="I8" t="s">
        <v>321</v>
      </c>
      <c r="Q8" t="s">
        <v>333</v>
      </c>
      <c r="AF8" t="s">
        <v>319</v>
      </c>
    </row>
    <row r="9" spans="1:34" x14ac:dyDescent="0.2">
      <c r="I9" t="s">
        <v>322</v>
      </c>
      <c r="Q9" t="s">
        <v>27</v>
      </c>
      <c r="AF9" t="s">
        <v>323</v>
      </c>
    </row>
    <row r="10" spans="1:34" x14ac:dyDescent="0.2">
      <c r="I10" t="s">
        <v>324</v>
      </c>
      <c r="Q10" t="s">
        <v>28</v>
      </c>
    </row>
    <row r="11" spans="1:34" x14ac:dyDescent="0.2">
      <c r="I11" t="s">
        <v>325</v>
      </c>
      <c r="Q11" t="s">
        <v>29</v>
      </c>
    </row>
    <row r="12" spans="1:34" x14ac:dyDescent="0.2">
      <c r="I12" t="s">
        <v>326</v>
      </c>
      <c r="Q12" t="s">
        <v>348</v>
      </c>
    </row>
    <row r="13" spans="1:34" x14ac:dyDescent="0.2">
      <c r="I13" t="s">
        <v>327</v>
      </c>
    </row>
    <row r="14" spans="1:34" x14ac:dyDescent="0.2">
      <c r="I14" t="s">
        <v>328</v>
      </c>
    </row>
    <row r="15" spans="1:34" x14ac:dyDescent="0.2">
      <c r="I15" t="s">
        <v>329</v>
      </c>
    </row>
    <row r="16" spans="1:34" x14ac:dyDescent="0.2">
      <c r="I16" t="s">
        <v>330</v>
      </c>
    </row>
    <row r="17" spans="9:9" x14ac:dyDescent="0.2">
      <c r="I17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21"/>
  <sheetViews>
    <sheetView workbookViewId="0">
      <selection activeCell="AD24" sqref="AD24"/>
    </sheetView>
  </sheetViews>
  <sheetFormatPr defaultRowHeight="14.25" x14ac:dyDescent="0.2"/>
  <cols>
    <col min="1" max="1" width="39.25" bestFit="1" customWidth="1"/>
    <col min="2" max="2" width="6.875" style="255" customWidth="1"/>
    <col min="3" max="3" width="7" style="255" customWidth="1"/>
    <col min="4" max="4" width="7.625" style="255" customWidth="1"/>
    <col min="5" max="5" width="8.875" style="255" customWidth="1"/>
    <col min="6" max="12" width="9" style="255"/>
    <col min="25" max="34" width="5.375" customWidth="1"/>
  </cols>
  <sheetData>
    <row r="1" spans="1:33" s="252" customFormat="1" x14ac:dyDescent="0.2">
      <c r="A1" s="257" t="s">
        <v>121</v>
      </c>
      <c r="B1" s="3129" t="s">
        <v>33</v>
      </c>
      <c r="C1" s="3129"/>
      <c r="D1" s="3129" t="s">
        <v>49</v>
      </c>
      <c r="E1" s="3129"/>
      <c r="F1" s="253" t="s">
        <v>342</v>
      </c>
      <c r="G1" s="253" t="s">
        <v>343</v>
      </c>
      <c r="H1" s="253" t="s">
        <v>344</v>
      </c>
      <c r="I1" s="253" t="s">
        <v>345</v>
      </c>
      <c r="J1" s="254" t="s">
        <v>346</v>
      </c>
      <c r="K1" s="253" t="s">
        <v>347</v>
      </c>
      <c r="L1" s="257" t="s">
        <v>349</v>
      </c>
      <c r="M1" s="3130" t="s">
        <v>350</v>
      </c>
      <c r="N1" s="3131"/>
      <c r="O1" s="3131"/>
      <c r="P1" s="3132"/>
      <c r="Q1" s="3130" t="s">
        <v>356</v>
      </c>
      <c r="R1" s="3131"/>
      <c r="S1" s="3131"/>
      <c r="T1" s="3132"/>
      <c r="U1" s="3128" t="s">
        <v>359</v>
      </c>
      <c r="V1" s="3128"/>
      <c r="W1" s="3128"/>
      <c r="X1" s="3128"/>
      <c r="Y1" s="3128" t="s">
        <v>388</v>
      </c>
      <c r="Z1" s="3128"/>
      <c r="AA1" s="3128"/>
      <c r="AB1" s="3128"/>
      <c r="AC1" s="3128"/>
      <c r="AD1" s="3128" t="s">
        <v>389</v>
      </c>
      <c r="AE1" s="3128"/>
      <c r="AF1" s="3128"/>
      <c r="AG1" s="3128"/>
    </row>
    <row r="2" spans="1:33" x14ac:dyDescent="0.2">
      <c r="A2" s="258"/>
      <c r="B2" s="251" t="s">
        <v>335</v>
      </c>
      <c r="C2" s="251" t="s">
        <v>336</v>
      </c>
      <c r="D2" s="251" t="s">
        <v>335</v>
      </c>
      <c r="E2" s="251" t="s">
        <v>336</v>
      </c>
      <c r="F2" s="251" t="s">
        <v>335</v>
      </c>
      <c r="G2" s="251" t="s">
        <v>335</v>
      </c>
      <c r="H2" s="251" t="s">
        <v>335</v>
      </c>
      <c r="I2" s="251" t="s">
        <v>335</v>
      </c>
      <c r="J2" s="251" t="s">
        <v>335</v>
      </c>
      <c r="K2" s="256"/>
      <c r="L2" s="259"/>
      <c r="M2" s="263" t="s">
        <v>235</v>
      </c>
      <c r="N2" s="263" t="s">
        <v>351</v>
      </c>
      <c r="O2" s="263" t="s">
        <v>335</v>
      </c>
      <c r="P2" s="263" t="s">
        <v>369</v>
      </c>
      <c r="Q2" s="263" t="s">
        <v>235</v>
      </c>
      <c r="R2" s="263" t="s">
        <v>351</v>
      </c>
      <c r="S2" s="263" t="s">
        <v>335</v>
      </c>
      <c r="T2" s="263" t="s">
        <v>369</v>
      </c>
      <c r="U2" s="263" t="s">
        <v>235</v>
      </c>
      <c r="V2" s="263" t="s">
        <v>351</v>
      </c>
      <c r="W2" s="263" t="s">
        <v>335</v>
      </c>
      <c r="X2" s="263" t="s">
        <v>369</v>
      </c>
      <c r="Y2" s="271">
        <v>1</v>
      </c>
      <c r="Z2" s="271">
        <v>2</v>
      </c>
      <c r="AA2" s="271">
        <v>3</v>
      </c>
      <c r="AB2" s="271">
        <v>4</v>
      </c>
      <c r="AC2" s="271">
        <v>5</v>
      </c>
      <c r="AD2" s="271">
        <v>1</v>
      </c>
      <c r="AE2" s="271">
        <v>2</v>
      </c>
      <c r="AF2" s="271">
        <v>3</v>
      </c>
      <c r="AG2" s="271">
        <v>4</v>
      </c>
    </row>
    <row r="3" spans="1:33" x14ac:dyDescent="0.2">
      <c r="A3" s="259" t="s">
        <v>122</v>
      </c>
      <c r="B3" s="261">
        <v>0</v>
      </c>
      <c r="C3" s="261">
        <v>0</v>
      </c>
      <c r="D3" s="261">
        <v>50</v>
      </c>
      <c r="E3" s="261">
        <v>35</v>
      </c>
      <c r="F3" s="261">
        <v>10</v>
      </c>
      <c r="G3" s="261">
        <v>5</v>
      </c>
      <c r="H3" s="261">
        <v>5</v>
      </c>
      <c r="I3" s="261">
        <v>10</v>
      </c>
      <c r="J3" s="261">
        <v>20</v>
      </c>
      <c r="K3" s="261">
        <f>B3+D3+F3+G3+H3+I3+J3</f>
        <v>100</v>
      </c>
      <c r="L3" s="261">
        <f>C3+E3</f>
        <v>35</v>
      </c>
      <c r="M3" s="259"/>
      <c r="N3" s="259"/>
      <c r="O3" s="259"/>
      <c r="P3" s="259"/>
      <c r="Q3" s="259"/>
      <c r="R3" s="259"/>
      <c r="S3" s="261"/>
      <c r="T3" s="261"/>
      <c r="U3" s="259"/>
      <c r="V3" s="259"/>
      <c r="W3" s="261"/>
      <c r="X3" s="268"/>
      <c r="Y3" s="269"/>
      <c r="Z3" s="269"/>
      <c r="AA3" s="269"/>
      <c r="AB3" s="269"/>
      <c r="AC3" s="269"/>
      <c r="AD3" s="269"/>
      <c r="AE3" s="269"/>
      <c r="AF3" s="269"/>
      <c r="AG3" s="269"/>
    </row>
    <row r="4" spans="1:33" x14ac:dyDescent="0.2">
      <c r="A4" s="259" t="s">
        <v>21</v>
      </c>
      <c r="B4" s="261">
        <v>40</v>
      </c>
      <c r="C4" s="261">
        <v>20</v>
      </c>
      <c r="D4" s="261">
        <v>30</v>
      </c>
      <c r="E4" s="261">
        <v>15</v>
      </c>
      <c r="F4" s="261">
        <v>0</v>
      </c>
      <c r="G4" s="261">
        <v>5</v>
      </c>
      <c r="H4" s="261">
        <v>5</v>
      </c>
      <c r="I4" s="261">
        <v>0</v>
      </c>
      <c r="J4" s="261">
        <v>20</v>
      </c>
      <c r="K4" s="261">
        <f t="shared" ref="K4:K13" si="0">B4+D4+F4+G4+H4+I4+J4</f>
        <v>100</v>
      </c>
      <c r="L4" s="261">
        <f t="shared" ref="L4:L13" si="1">C4+E4</f>
        <v>35</v>
      </c>
      <c r="M4" s="259" t="s">
        <v>352</v>
      </c>
      <c r="N4" s="259" t="s">
        <v>353</v>
      </c>
      <c r="O4" s="261">
        <v>15</v>
      </c>
      <c r="P4" s="270" t="s">
        <v>370</v>
      </c>
      <c r="Q4" s="264" t="s">
        <v>354</v>
      </c>
      <c r="R4" s="264" t="s">
        <v>355</v>
      </c>
      <c r="S4" s="261">
        <v>20</v>
      </c>
      <c r="T4" s="270" t="s">
        <v>373</v>
      </c>
      <c r="U4" s="265" t="s">
        <v>357</v>
      </c>
      <c r="V4" s="264" t="s">
        <v>358</v>
      </c>
      <c r="W4" s="261">
        <v>5</v>
      </c>
      <c r="X4" s="270" t="s">
        <v>374</v>
      </c>
      <c r="Y4" s="269">
        <v>4</v>
      </c>
      <c r="Z4" s="269">
        <v>4</v>
      </c>
      <c r="AA4" s="269">
        <v>4</v>
      </c>
      <c r="AB4" s="269">
        <v>4</v>
      </c>
      <c r="AC4" s="269">
        <v>3</v>
      </c>
      <c r="AD4" s="269">
        <v>4</v>
      </c>
      <c r="AE4" s="269">
        <v>4</v>
      </c>
      <c r="AF4" s="269">
        <v>4</v>
      </c>
      <c r="AG4" s="269">
        <v>4</v>
      </c>
    </row>
    <row r="5" spans="1:33" x14ac:dyDescent="0.2">
      <c r="A5" s="259" t="s">
        <v>334</v>
      </c>
      <c r="B5" s="261">
        <v>40</v>
      </c>
      <c r="C5" s="261">
        <v>20</v>
      </c>
      <c r="D5" s="261">
        <v>40</v>
      </c>
      <c r="E5" s="261">
        <v>15</v>
      </c>
      <c r="F5" s="261">
        <v>0</v>
      </c>
      <c r="G5" s="261">
        <v>0</v>
      </c>
      <c r="H5" s="261">
        <v>0</v>
      </c>
      <c r="I5" s="261">
        <v>0</v>
      </c>
      <c r="J5" s="261">
        <v>20</v>
      </c>
      <c r="K5" s="261">
        <f t="shared" si="0"/>
        <v>100</v>
      </c>
      <c r="L5" s="261">
        <f t="shared" si="1"/>
        <v>35</v>
      </c>
      <c r="M5" s="264" t="s">
        <v>360</v>
      </c>
      <c r="N5" s="264" t="s">
        <v>361</v>
      </c>
      <c r="O5" s="261">
        <v>15</v>
      </c>
      <c r="P5" s="270" t="s">
        <v>371</v>
      </c>
      <c r="Q5" s="264" t="s">
        <v>354</v>
      </c>
      <c r="R5" s="264" t="s">
        <v>355</v>
      </c>
      <c r="S5" s="261">
        <v>15</v>
      </c>
      <c r="T5" s="270" t="s">
        <v>373</v>
      </c>
      <c r="U5" s="265" t="s">
        <v>357</v>
      </c>
      <c r="V5" s="264" t="s">
        <v>358</v>
      </c>
      <c r="W5" s="261">
        <v>10</v>
      </c>
      <c r="X5" s="270" t="s">
        <v>374</v>
      </c>
      <c r="Y5" s="269">
        <v>4</v>
      </c>
      <c r="Z5" s="269">
        <v>4</v>
      </c>
      <c r="AA5" s="269">
        <v>4</v>
      </c>
      <c r="AB5" s="269">
        <v>4</v>
      </c>
      <c r="AC5" s="269">
        <v>4</v>
      </c>
      <c r="AD5" s="269">
        <v>5</v>
      </c>
      <c r="AE5" s="269">
        <v>4</v>
      </c>
      <c r="AF5" s="269">
        <v>4</v>
      </c>
      <c r="AG5" s="269">
        <v>5</v>
      </c>
    </row>
    <row r="6" spans="1:33" x14ac:dyDescent="0.2">
      <c r="A6" s="259" t="s">
        <v>311</v>
      </c>
      <c r="B6" s="261">
        <v>40</v>
      </c>
      <c r="C6" s="261">
        <v>20</v>
      </c>
      <c r="D6" s="261">
        <v>30</v>
      </c>
      <c r="E6" s="261">
        <v>15</v>
      </c>
      <c r="F6" s="261">
        <v>0</v>
      </c>
      <c r="G6" s="261">
        <v>5</v>
      </c>
      <c r="H6" s="261">
        <v>5</v>
      </c>
      <c r="I6" s="261">
        <v>0</v>
      </c>
      <c r="J6" s="261">
        <v>20</v>
      </c>
      <c r="K6" s="261">
        <f t="shared" si="0"/>
        <v>100</v>
      </c>
      <c r="L6" s="261">
        <f t="shared" si="1"/>
        <v>35</v>
      </c>
      <c r="M6" s="264" t="s">
        <v>362</v>
      </c>
      <c r="N6" s="264" t="s">
        <v>363</v>
      </c>
      <c r="O6" s="261">
        <v>25</v>
      </c>
      <c r="P6" s="270" t="s">
        <v>370</v>
      </c>
      <c r="Q6" s="264" t="s">
        <v>354</v>
      </c>
      <c r="R6" s="264" t="s">
        <v>364</v>
      </c>
      <c r="S6" s="261">
        <v>10</v>
      </c>
      <c r="T6" s="270" t="s">
        <v>373</v>
      </c>
      <c r="U6" s="265" t="s">
        <v>357</v>
      </c>
      <c r="V6" s="264" t="s">
        <v>358</v>
      </c>
      <c r="W6" s="261">
        <v>5</v>
      </c>
      <c r="X6" s="270" t="s">
        <v>374</v>
      </c>
      <c r="Y6" s="269">
        <v>4</v>
      </c>
      <c r="Z6" s="269">
        <v>4</v>
      </c>
      <c r="AA6" s="269">
        <v>4</v>
      </c>
      <c r="AB6" s="269">
        <v>4</v>
      </c>
      <c r="AC6" s="269">
        <v>3</v>
      </c>
      <c r="AD6" s="269">
        <v>4</v>
      </c>
      <c r="AE6" s="269">
        <v>4</v>
      </c>
      <c r="AF6" s="269">
        <v>4</v>
      </c>
      <c r="AG6" s="269">
        <v>4</v>
      </c>
    </row>
    <row r="7" spans="1:33" x14ac:dyDescent="0.2">
      <c r="A7" s="259" t="s">
        <v>332</v>
      </c>
      <c r="B7" s="261">
        <v>25</v>
      </c>
      <c r="C7" s="261">
        <v>15</v>
      </c>
      <c r="D7" s="261">
        <v>35</v>
      </c>
      <c r="E7" s="261">
        <v>20</v>
      </c>
      <c r="F7" s="261">
        <v>0</v>
      </c>
      <c r="G7" s="261">
        <v>5</v>
      </c>
      <c r="H7" s="261">
        <v>5</v>
      </c>
      <c r="I7" s="261">
        <v>10</v>
      </c>
      <c r="J7" s="261">
        <v>20</v>
      </c>
      <c r="K7" s="261">
        <f t="shared" si="0"/>
        <v>100</v>
      </c>
      <c r="L7" s="261">
        <f t="shared" si="1"/>
        <v>35</v>
      </c>
      <c r="M7" s="259" t="s">
        <v>360</v>
      </c>
      <c r="N7" s="259" t="s">
        <v>361</v>
      </c>
      <c r="O7" s="261">
        <v>10</v>
      </c>
      <c r="P7" s="270" t="s">
        <v>372</v>
      </c>
      <c r="Q7" s="259" t="s">
        <v>354</v>
      </c>
      <c r="R7" s="259" t="s">
        <v>355</v>
      </c>
      <c r="S7" s="261">
        <v>10</v>
      </c>
      <c r="T7" s="270" t="s">
        <v>373</v>
      </c>
      <c r="U7" s="259" t="s">
        <v>357</v>
      </c>
      <c r="V7" s="259" t="s">
        <v>358</v>
      </c>
      <c r="W7" s="261">
        <v>5</v>
      </c>
      <c r="X7" s="270" t="s">
        <v>374</v>
      </c>
      <c r="Y7" s="269">
        <v>4</v>
      </c>
      <c r="Z7" s="269">
        <v>4</v>
      </c>
      <c r="AA7" s="269">
        <v>4</v>
      </c>
      <c r="AB7" s="269">
        <v>4</v>
      </c>
      <c r="AC7" s="269">
        <v>3</v>
      </c>
      <c r="AD7" s="269">
        <v>4</v>
      </c>
      <c r="AE7" s="269">
        <v>4</v>
      </c>
      <c r="AF7" s="269">
        <v>4</v>
      </c>
      <c r="AG7" s="269">
        <v>4</v>
      </c>
    </row>
    <row r="8" spans="1:33" x14ac:dyDescent="0.2">
      <c r="A8" s="259" t="s">
        <v>25</v>
      </c>
      <c r="B8" s="261">
        <v>25</v>
      </c>
      <c r="C8" s="261">
        <v>15</v>
      </c>
      <c r="D8" s="261">
        <v>35</v>
      </c>
      <c r="E8" s="261">
        <v>20</v>
      </c>
      <c r="F8" s="261">
        <v>0</v>
      </c>
      <c r="G8" s="261">
        <v>5</v>
      </c>
      <c r="H8" s="261">
        <v>5</v>
      </c>
      <c r="I8" s="261">
        <v>10</v>
      </c>
      <c r="J8" s="261">
        <v>20</v>
      </c>
      <c r="K8" s="261">
        <f t="shared" si="0"/>
        <v>100</v>
      </c>
      <c r="L8" s="261">
        <f t="shared" si="1"/>
        <v>35</v>
      </c>
      <c r="M8" s="264" t="s">
        <v>362</v>
      </c>
      <c r="N8" s="264" t="s">
        <v>363</v>
      </c>
      <c r="O8" s="261">
        <v>10</v>
      </c>
      <c r="P8" s="270" t="s">
        <v>370</v>
      </c>
      <c r="Q8" s="264" t="s">
        <v>354</v>
      </c>
      <c r="R8" s="264" t="s">
        <v>364</v>
      </c>
      <c r="S8" s="261">
        <v>10</v>
      </c>
      <c r="T8" s="270" t="s">
        <v>373</v>
      </c>
      <c r="U8" s="265" t="s">
        <v>357</v>
      </c>
      <c r="V8" s="264" t="s">
        <v>358</v>
      </c>
      <c r="W8" s="261">
        <v>5</v>
      </c>
      <c r="X8" s="270" t="s">
        <v>374</v>
      </c>
      <c r="Y8" s="269">
        <v>4</v>
      </c>
      <c r="Z8" s="269">
        <v>4</v>
      </c>
      <c r="AA8" s="269">
        <v>4</v>
      </c>
      <c r="AB8" s="269">
        <v>4</v>
      </c>
      <c r="AC8" s="269">
        <v>3</v>
      </c>
      <c r="AD8" s="269">
        <v>4</v>
      </c>
      <c r="AE8" s="269">
        <v>4</v>
      </c>
      <c r="AF8" s="269">
        <v>4</v>
      </c>
      <c r="AG8" s="269">
        <v>4</v>
      </c>
    </row>
    <row r="9" spans="1:33" x14ac:dyDescent="0.2">
      <c r="A9" s="259" t="s">
        <v>333</v>
      </c>
      <c r="B9" s="261">
        <v>25</v>
      </c>
      <c r="C9" s="261">
        <v>15</v>
      </c>
      <c r="D9" s="261">
        <v>35</v>
      </c>
      <c r="E9" s="261">
        <v>20</v>
      </c>
      <c r="F9" s="261">
        <v>0</v>
      </c>
      <c r="G9" s="261">
        <v>5</v>
      </c>
      <c r="H9" s="261">
        <v>5</v>
      </c>
      <c r="I9" s="261">
        <v>10</v>
      </c>
      <c r="J9" s="261">
        <v>20</v>
      </c>
      <c r="K9" s="261">
        <f t="shared" si="0"/>
        <v>100</v>
      </c>
      <c r="L9" s="261">
        <f t="shared" si="1"/>
        <v>35</v>
      </c>
      <c r="M9" s="259" t="s">
        <v>360</v>
      </c>
      <c r="N9" s="259" t="s">
        <v>361</v>
      </c>
      <c r="O9" s="261">
        <v>10</v>
      </c>
      <c r="P9" s="270" t="s">
        <v>375</v>
      </c>
      <c r="Q9" s="259" t="s">
        <v>354</v>
      </c>
      <c r="R9" s="259" t="s">
        <v>355</v>
      </c>
      <c r="S9" s="261">
        <v>10</v>
      </c>
      <c r="T9" s="270" t="s">
        <v>373</v>
      </c>
      <c r="U9" s="259" t="s">
        <v>357</v>
      </c>
      <c r="V9" s="259" t="s">
        <v>358</v>
      </c>
      <c r="W9" s="261">
        <v>5</v>
      </c>
      <c r="X9" s="270" t="s">
        <v>374</v>
      </c>
      <c r="Y9" s="269">
        <v>4</v>
      </c>
      <c r="Z9" s="269">
        <v>4</v>
      </c>
      <c r="AA9" s="269">
        <v>4</v>
      </c>
      <c r="AB9" s="269">
        <v>4</v>
      </c>
      <c r="AC9" s="269">
        <v>3</v>
      </c>
      <c r="AD9" s="269">
        <v>4</v>
      </c>
      <c r="AE9" s="269">
        <v>4</v>
      </c>
      <c r="AF9" s="269">
        <v>4</v>
      </c>
      <c r="AG9" s="269">
        <v>4</v>
      </c>
    </row>
    <row r="10" spans="1:33" x14ac:dyDescent="0.2">
      <c r="A10" s="259" t="s">
        <v>27</v>
      </c>
      <c r="B10" s="261">
        <v>25</v>
      </c>
      <c r="C10" s="261">
        <v>15</v>
      </c>
      <c r="D10" s="261">
        <v>35</v>
      </c>
      <c r="E10" s="261">
        <v>20</v>
      </c>
      <c r="F10" s="261">
        <v>0</v>
      </c>
      <c r="G10" s="261">
        <v>5</v>
      </c>
      <c r="H10" s="261">
        <v>5</v>
      </c>
      <c r="I10" s="261">
        <v>10</v>
      </c>
      <c r="J10" s="261">
        <v>20</v>
      </c>
      <c r="K10" s="261">
        <f t="shared" si="0"/>
        <v>100</v>
      </c>
      <c r="L10" s="261">
        <f t="shared" si="1"/>
        <v>35</v>
      </c>
      <c r="M10" s="259" t="s">
        <v>365</v>
      </c>
      <c r="N10" s="259" t="s">
        <v>366</v>
      </c>
      <c r="O10" s="261">
        <v>20</v>
      </c>
      <c r="P10" s="270" t="s">
        <v>375</v>
      </c>
      <c r="Q10" s="259" t="s">
        <v>357</v>
      </c>
      <c r="R10" s="259" t="s">
        <v>358</v>
      </c>
      <c r="S10" s="261">
        <v>5</v>
      </c>
      <c r="T10" s="270" t="s">
        <v>374</v>
      </c>
      <c r="U10" s="259"/>
      <c r="V10" s="259"/>
      <c r="W10" s="261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</row>
    <row r="11" spans="1:33" x14ac:dyDescent="0.2">
      <c r="A11" s="259" t="s">
        <v>28</v>
      </c>
      <c r="B11" s="261">
        <v>15</v>
      </c>
      <c r="C11" s="261">
        <v>10</v>
      </c>
      <c r="D11" s="261">
        <v>35</v>
      </c>
      <c r="E11" s="261">
        <v>25</v>
      </c>
      <c r="F11" s="261">
        <v>10</v>
      </c>
      <c r="G11" s="261">
        <v>5</v>
      </c>
      <c r="H11" s="261">
        <v>5</v>
      </c>
      <c r="I11" s="261">
        <v>10</v>
      </c>
      <c r="J11" s="261">
        <v>20</v>
      </c>
      <c r="K11" s="261">
        <f t="shared" si="0"/>
        <v>100</v>
      </c>
      <c r="L11" s="261">
        <f t="shared" si="1"/>
        <v>35</v>
      </c>
      <c r="M11" s="259" t="s">
        <v>365</v>
      </c>
      <c r="N11" s="259" t="s">
        <v>366</v>
      </c>
      <c r="O11" s="261">
        <v>15</v>
      </c>
      <c r="P11" s="270" t="s">
        <v>375</v>
      </c>
      <c r="Q11" s="259"/>
      <c r="R11" s="259"/>
      <c r="S11" s="261"/>
      <c r="T11" s="261"/>
      <c r="U11" s="259"/>
      <c r="V11" s="259"/>
      <c r="W11" s="261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</row>
    <row r="12" spans="1:33" x14ac:dyDescent="0.2">
      <c r="A12" s="259" t="s">
        <v>29</v>
      </c>
      <c r="B12" s="261">
        <v>10</v>
      </c>
      <c r="C12" s="261">
        <v>7.5</v>
      </c>
      <c r="D12" s="261">
        <v>40</v>
      </c>
      <c r="E12" s="261">
        <v>27.5</v>
      </c>
      <c r="F12" s="261">
        <v>10</v>
      </c>
      <c r="G12" s="261">
        <v>5</v>
      </c>
      <c r="H12" s="261">
        <v>5</v>
      </c>
      <c r="I12" s="261">
        <v>10</v>
      </c>
      <c r="J12" s="261">
        <v>20</v>
      </c>
      <c r="K12" s="261">
        <f t="shared" si="0"/>
        <v>100</v>
      </c>
      <c r="L12" s="261">
        <f t="shared" si="1"/>
        <v>35</v>
      </c>
      <c r="M12" s="259" t="s">
        <v>365</v>
      </c>
      <c r="N12" s="259" t="s">
        <v>366</v>
      </c>
      <c r="O12" s="261">
        <v>10</v>
      </c>
      <c r="P12" s="270" t="s">
        <v>375</v>
      </c>
      <c r="Q12" s="259"/>
      <c r="R12" s="259"/>
      <c r="S12" s="261"/>
      <c r="T12" s="261"/>
      <c r="U12" s="259"/>
      <c r="V12" s="259"/>
      <c r="W12" s="261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</row>
    <row r="13" spans="1:33" x14ac:dyDescent="0.2">
      <c r="A13" s="260" t="s">
        <v>348</v>
      </c>
      <c r="B13" s="261">
        <v>40</v>
      </c>
      <c r="C13" s="261">
        <v>20</v>
      </c>
      <c r="D13" s="261">
        <v>30</v>
      </c>
      <c r="E13" s="261">
        <v>15</v>
      </c>
      <c r="F13" s="261">
        <v>0</v>
      </c>
      <c r="G13" s="261">
        <v>5</v>
      </c>
      <c r="H13" s="261">
        <v>5</v>
      </c>
      <c r="I13" s="261">
        <v>0</v>
      </c>
      <c r="J13" s="261">
        <v>20</v>
      </c>
      <c r="K13" s="261">
        <f t="shared" si="0"/>
        <v>100</v>
      </c>
      <c r="L13" s="261">
        <f t="shared" si="1"/>
        <v>35</v>
      </c>
      <c r="M13" s="264" t="s">
        <v>354</v>
      </c>
      <c r="N13" s="264" t="s">
        <v>355</v>
      </c>
      <c r="O13" s="261">
        <v>35</v>
      </c>
      <c r="P13" s="270" t="s">
        <v>373</v>
      </c>
      <c r="Q13" s="265" t="s">
        <v>357</v>
      </c>
      <c r="R13" s="264" t="s">
        <v>358</v>
      </c>
      <c r="S13" s="261">
        <v>5</v>
      </c>
      <c r="T13" s="270" t="s">
        <v>374</v>
      </c>
      <c r="U13" s="259"/>
      <c r="V13" s="259"/>
      <c r="W13" s="261"/>
      <c r="X13" s="269"/>
      <c r="Y13" s="269">
        <v>4</v>
      </c>
      <c r="Z13" s="269">
        <v>4</v>
      </c>
      <c r="AA13" s="269">
        <v>4</v>
      </c>
      <c r="AB13" s="269">
        <v>4</v>
      </c>
      <c r="AC13" s="269">
        <v>3</v>
      </c>
      <c r="AD13" s="269">
        <v>4</v>
      </c>
      <c r="AE13" s="269">
        <v>4</v>
      </c>
      <c r="AF13" s="269">
        <v>4</v>
      </c>
      <c r="AG13" s="269">
        <v>4</v>
      </c>
    </row>
    <row r="14" spans="1:33" x14ac:dyDescent="0.2"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1:33" x14ac:dyDescent="0.2">
      <c r="A15" s="262" t="s">
        <v>1093</v>
      </c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</row>
    <row r="16" spans="1:33" x14ac:dyDescent="0.2">
      <c r="A16" s="1742" t="s">
        <v>293</v>
      </c>
      <c r="B16" s="1742" t="s">
        <v>1085</v>
      </c>
      <c r="C16" s="1743">
        <v>1</v>
      </c>
      <c r="D16" s="1742" t="s">
        <v>1087</v>
      </c>
      <c r="E16" s="1743">
        <v>1</v>
      </c>
      <c r="F16" s="1742" t="s">
        <v>1088</v>
      </c>
      <c r="G16" s="1743">
        <v>1</v>
      </c>
      <c r="H16" s="1742" t="s">
        <v>1089</v>
      </c>
      <c r="I16" s="1743">
        <v>2</v>
      </c>
      <c r="J16" s="1742" t="s">
        <v>1092</v>
      </c>
      <c r="K16" s="1743">
        <v>1</v>
      </c>
    </row>
    <row r="17" spans="1:18" x14ac:dyDescent="0.2">
      <c r="A17" s="1742" t="s">
        <v>303</v>
      </c>
      <c r="B17" s="1742" t="s">
        <v>1086</v>
      </c>
      <c r="C17" s="1743">
        <v>2</v>
      </c>
      <c r="D17" s="1742" t="s">
        <v>1087</v>
      </c>
      <c r="E17" s="1743">
        <v>2</v>
      </c>
      <c r="F17" s="1742" t="s">
        <v>1088</v>
      </c>
      <c r="G17" s="1743">
        <v>2</v>
      </c>
      <c r="H17" s="1742" t="s">
        <v>1090</v>
      </c>
      <c r="I17" s="1743">
        <v>2</v>
      </c>
      <c r="J17" s="1743"/>
      <c r="K17" s="1742"/>
      <c r="L17" s="1743"/>
      <c r="M17" s="255"/>
      <c r="N17" s="255"/>
      <c r="O17" s="255"/>
      <c r="P17" s="255"/>
      <c r="Q17" s="255"/>
      <c r="R17" s="255"/>
    </row>
    <row r="18" spans="1:18" x14ac:dyDescent="0.2">
      <c r="A18" s="1742" t="s">
        <v>309</v>
      </c>
      <c r="B18" s="1742" t="s">
        <v>1086</v>
      </c>
      <c r="C18" s="1743">
        <v>1</v>
      </c>
      <c r="D18" s="1742" t="s">
        <v>1087</v>
      </c>
      <c r="E18" s="1743">
        <v>2</v>
      </c>
      <c r="F18" s="1742" t="s">
        <v>1094</v>
      </c>
      <c r="G18" s="1743">
        <v>2</v>
      </c>
      <c r="H18" s="1742" t="s">
        <v>1091</v>
      </c>
      <c r="I18" s="1743">
        <v>1</v>
      </c>
      <c r="J18" s="1743"/>
      <c r="K18" s="1742"/>
      <c r="L18" s="1743"/>
      <c r="M18" s="255"/>
      <c r="N18" s="255"/>
      <c r="O18" s="255"/>
      <c r="P18" s="255"/>
      <c r="Q18" s="255"/>
      <c r="R18" s="255"/>
    </row>
    <row r="19" spans="1:18" x14ac:dyDescent="0.2">
      <c r="A19" s="1742"/>
      <c r="B19"/>
      <c r="C19"/>
      <c r="D19"/>
      <c r="E19"/>
      <c r="F19"/>
      <c r="G19" s="1742"/>
      <c r="H19" s="1743"/>
      <c r="I19" s="1742"/>
      <c r="J19" s="1743"/>
      <c r="K19" s="1742"/>
      <c r="L19" s="1743"/>
      <c r="M19" s="255"/>
      <c r="N19" s="255"/>
      <c r="O19" s="255"/>
      <c r="P19" s="255"/>
      <c r="Q19" s="255"/>
      <c r="R19" s="255"/>
    </row>
    <row r="20" spans="1:18" x14ac:dyDescent="0.2">
      <c r="B20"/>
      <c r="C20"/>
      <c r="D20"/>
      <c r="E20"/>
      <c r="F20"/>
      <c r="G20" s="1742"/>
      <c r="H20" s="1743"/>
      <c r="I20" s="1742"/>
      <c r="J20" s="1743"/>
      <c r="K20" s="1742"/>
      <c r="L20" s="1743"/>
      <c r="M20" s="255"/>
      <c r="N20" s="255"/>
      <c r="O20" s="255"/>
      <c r="P20" s="255"/>
      <c r="Q20" s="255"/>
      <c r="R20" s="255"/>
    </row>
    <row r="21" spans="1:18" x14ac:dyDescent="0.2">
      <c r="B21"/>
      <c r="C21"/>
      <c r="D21"/>
      <c r="E21"/>
      <c r="F21"/>
      <c r="G21" s="1742"/>
      <c r="H21" s="1743"/>
      <c r="I21" s="1742"/>
      <c r="J21" s="1743"/>
      <c r="K21" s="1743"/>
      <c r="L21" s="1743"/>
      <c r="M21" s="255"/>
      <c r="N21" s="255"/>
      <c r="O21" s="255"/>
      <c r="P21" s="255"/>
      <c r="Q21" s="255"/>
      <c r="R21" s="255"/>
    </row>
  </sheetData>
  <mergeCells count="7">
    <mergeCell ref="Y1:AC1"/>
    <mergeCell ref="AD1:AG1"/>
    <mergeCell ref="B1:C1"/>
    <mergeCell ref="D1:E1"/>
    <mergeCell ref="M1:P1"/>
    <mergeCell ref="Q1:T1"/>
    <mergeCell ref="U1:X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AR143"/>
  <sheetViews>
    <sheetView showGridLines="0" topLeftCell="A76" zoomScale="90" zoomScaleNormal="90" workbookViewId="0">
      <selection activeCell="D79" sqref="D79:H79"/>
    </sheetView>
  </sheetViews>
  <sheetFormatPr defaultRowHeight="14.25" x14ac:dyDescent="0.2"/>
  <cols>
    <col min="1" max="1" width="2.625" customWidth="1"/>
    <col min="2" max="2" width="14" customWidth="1"/>
    <col min="3" max="3" width="14.375" customWidth="1"/>
    <col min="4" max="4" width="10" customWidth="1"/>
    <col min="5" max="5" width="1.75" customWidth="1"/>
    <col min="6" max="6" width="12.625" customWidth="1"/>
    <col min="7" max="7" width="9.25" customWidth="1"/>
    <col min="8" max="8" width="6.875" customWidth="1"/>
    <col min="9" max="9" width="8.125" customWidth="1"/>
    <col min="10" max="10" width="2.375" customWidth="1"/>
    <col min="11" max="11" width="10.25" customWidth="1"/>
    <col min="12" max="17" width="6.375" customWidth="1"/>
    <col min="18" max="18" width="2.875" customWidth="1"/>
    <col min="19" max="19" width="1.375" customWidth="1"/>
    <col min="21" max="21" width="11.375" customWidth="1"/>
    <col min="22" max="22" width="7.25" customWidth="1"/>
    <col min="26" max="26" width="2.375" customWidth="1"/>
    <col min="27" max="27" width="2" customWidth="1"/>
    <col min="28" max="35" width="9" hidden="1" customWidth="1"/>
    <col min="36" max="36" width="3.875" hidden="1" customWidth="1"/>
    <col min="37" max="44" width="5.625" hidden="1" customWidth="1"/>
  </cols>
  <sheetData>
    <row r="1" spans="1:44" ht="21" customHeight="1" x14ac:dyDescent="0.55000000000000004">
      <c r="A1" s="1888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78" t="s">
        <v>109</v>
      </c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44" ht="21" customHeight="1" x14ac:dyDescent="0.2"/>
    <row r="3" spans="1:44" ht="15" customHeight="1" x14ac:dyDescent="0.2"/>
    <row r="4" spans="1:44" ht="13.5" customHeight="1" x14ac:dyDescent="0.2"/>
    <row r="5" spans="1:44" ht="24.75" x14ac:dyDescent="0.6">
      <c r="A5" s="2306" t="s">
        <v>110</v>
      </c>
      <c r="B5" s="2306"/>
      <c r="C5" s="2306"/>
      <c r="D5" s="2306"/>
      <c r="E5" s="2306"/>
      <c r="F5" s="2306"/>
      <c r="G5" s="2306"/>
      <c r="H5" s="2306"/>
      <c r="I5" s="2306"/>
      <c r="J5" s="2306"/>
      <c r="K5" s="2306"/>
      <c r="L5" s="2306"/>
      <c r="M5" s="2306"/>
      <c r="N5" s="2306"/>
      <c r="O5" s="2306"/>
      <c r="P5" s="2306"/>
      <c r="Q5" s="2306"/>
      <c r="R5" s="179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44" ht="24.75" x14ac:dyDescent="0.6">
      <c r="A6" s="2306" t="s">
        <v>111</v>
      </c>
      <c r="B6" s="2306"/>
      <c r="C6" s="2306"/>
      <c r="D6" s="2306"/>
      <c r="E6" s="2306"/>
      <c r="F6" s="2306"/>
      <c r="G6" s="2306"/>
      <c r="H6" s="2306"/>
      <c r="I6" s="2306"/>
      <c r="J6" s="2306"/>
      <c r="K6" s="2306"/>
      <c r="L6" s="2306"/>
      <c r="M6" s="2306"/>
      <c r="N6" s="2306"/>
      <c r="O6" s="2306"/>
      <c r="P6" s="2306"/>
      <c r="Q6" s="2306"/>
      <c r="R6" s="180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44" ht="13.5" customHeight="1" x14ac:dyDescent="0.6">
      <c r="A7" s="61"/>
      <c r="B7" s="6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61"/>
      <c r="Q7" s="180"/>
      <c r="R7" s="180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44" ht="24.75" x14ac:dyDescent="0.6">
      <c r="A8" s="123" t="s">
        <v>112</v>
      </c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1"/>
      <c r="Q8" s="121"/>
      <c r="R8" s="121"/>
      <c r="S8" s="157"/>
      <c r="T8" s="158" t="s">
        <v>113</v>
      </c>
      <c r="U8" s="159"/>
      <c r="V8" s="159"/>
      <c r="W8" s="159"/>
      <c r="X8" s="160"/>
      <c r="Y8" s="121"/>
      <c r="Z8" s="121"/>
      <c r="AA8" s="122"/>
      <c r="AB8" s="1925" t="s">
        <v>235</v>
      </c>
      <c r="AC8" s="1902" t="s">
        <v>335</v>
      </c>
      <c r="AD8" s="1902" t="s">
        <v>336</v>
      </c>
      <c r="AE8" s="1926" t="s">
        <v>368</v>
      </c>
      <c r="AF8" s="1926" t="s">
        <v>235</v>
      </c>
      <c r="AG8" s="1926" t="s">
        <v>351</v>
      </c>
      <c r="AH8" s="1926" t="s">
        <v>335</v>
      </c>
      <c r="AI8" s="1925" t="s">
        <v>369</v>
      </c>
      <c r="AJ8" s="1927"/>
      <c r="AK8" s="1927"/>
      <c r="AL8" s="1927"/>
      <c r="AM8" s="1927"/>
      <c r="AN8" s="1927"/>
      <c r="AO8" s="1927"/>
      <c r="AP8" s="1927"/>
      <c r="AQ8" s="1927"/>
      <c r="AR8" s="1927"/>
    </row>
    <row r="9" spans="1:44" ht="22.5" x14ac:dyDescent="0.55000000000000004">
      <c r="A9" s="125"/>
      <c r="B9" s="125" t="s">
        <v>114</v>
      </c>
      <c r="C9" s="2322" t="s">
        <v>1261</v>
      </c>
      <c r="D9" s="2323"/>
      <c r="E9" s="2323"/>
      <c r="F9" s="2323"/>
      <c r="G9" s="2324"/>
      <c r="H9" s="126"/>
      <c r="I9" s="132" t="s">
        <v>119</v>
      </c>
      <c r="J9" s="2315" t="s">
        <v>120</v>
      </c>
      <c r="K9" s="2316"/>
      <c r="L9" s="2316"/>
      <c r="M9" s="2316"/>
      <c r="N9" s="2316"/>
      <c r="O9" s="2316"/>
      <c r="P9" s="2317"/>
      <c r="Q9" s="107"/>
      <c r="R9" s="128"/>
      <c r="S9" s="161"/>
      <c r="T9" s="162" t="s">
        <v>1233</v>
      </c>
      <c r="U9" s="162"/>
      <c r="V9" s="1988"/>
      <c r="W9" s="162"/>
      <c r="X9" s="163"/>
      <c r="Y9" s="129"/>
      <c r="Z9" s="129"/>
      <c r="AA9" s="130"/>
      <c r="AB9" s="94" t="s">
        <v>337</v>
      </c>
      <c r="AC9" s="1901">
        <f>VLOOKUP(C13,น้ำหนัก!A3:W13,2,FALSE)</f>
        <v>10</v>
      </c>
      <c r="AD9" s="1901">
        <f>VLOOKUP(C13,น้ำหนัก!A3:W13,3,FALSE)</f>
        <v>7.5</v>
      </c>
      <c r="AE9" s="1901">
        <v>1</v>
      </c>
      <c r="AF9" s="1928" t="str">
        <f>VLOOKUP(C13,น้ำหนัก!A3:X13,13,FALSE)</f>
        <v>การบริหารงานหลักสูตร</v>
      </c>
      <c r="AG9" s="1928" t="str">
        <f>VLOOKUP(C13,น้ำหนัก!A3:X13,14,FALSE)</f>
        <v>ระดับความสำเร็จในการบริหารงานหลักสูตร</v>
      </c>
      <c r="AH9" s="1929">
        <f>VLOOKUP(C13,น้ำหนัก!A3:X13,15,FALSE)</f>
        <v>10</v>
      </c>
      <c r="AI9" s="1928" t="str">
        <f>VLOOKUP(C13,น้ำหนัก!A3:X13,16,FALSE)</f>
        <v>คะแนน 1-5 (ประเมินจากผู้บังคับบัญชา)</v>
      </c>
      <c r="AJ9" s="1927"/>
      <c r="AK9" s="1927" t="str">
        <f>J11</f>
        <v>คณะผลิตกรรมการเกษตร</v>
      </c>
      <c r="AL9" s="1927"/>
      <c r="AM9" s="1927"/>
      <c r="AN9" s="1927"/>
      <c r="AO9" s="1927"/>
      <c r="AP9" s="1927"/>
      <c r="AQ9" s="1927"/>
      <c r="AR9" s="1927"/>
    </row>
    <row r="10" spans="1:44" ht="5.25" customHeight="1" x14ac:dyDescent="0.55000000000000004">
      <c r="A10" s="125"/>
      <c r="B10" s="125"/>
      <c r="C10" s="106"/>
      <c r="D10" s="106"/>
      <c r="E10" s="106"/>
      <c r="F10" s="106"/>
      <c r="G10" s="126"/>
      <c r="H10" s="126"/>
      <c r="I10" s="127"/>
      <c r="J10" s="131"/>
      <c r="K10" s="107"/>
      <c r="L10" s="106"/>
      <c r="M10" s="106"/>
      <c r="N10" s="106"/>
      <c r="O10" s="106"/>
      <c r="P10" s="106"/>
      <c r="Q10" s="106"/>
      <c r="R10" s="128"/>
      <c r="S10" s="161"/>
      <c r="T10" s="162"/>
      <c r="U10" s="162"/>
      <c r="V10" s="162"/>
      <c r="W10" s="162"/>
      <c r="X10" s="163"/>
      <c r="Y10" s="129"/>
      <c r="Z10" s="129"/>
      <c r="AA10" s="130"/>
      <c r="AB10" s="94"/>
      <c r="AC10" s="1901"/>
      <c r="AD10" s="1901"/>
      <c r="AE10" s="1901"/>
      <c r="AF10" s="1928"/>
      <c r="AG10" s="1928"/>
      <c r="AH10" s="1929"/>
      <c r="AI10" s="1928"/>
      <c r="AJ10" s="1927"/>
      <c r="AK10" s="1927"/>
      <c r="AL10" s="1927"/>
      <c r="AM10" s="1927"/>
      <c r="AN10" s="1927"/>
      <c r="AO10" s="1927"/>
      <c r="AP10" s="1927"/>
      <c r="AQ10" s="1927"/>
      <c r="AR10" s="1927"/>
    </row>
    <row r="11" spans="1:44" ht="22.5" x14ac:dyDescent="0.55000000000000004">
      <c r="A11" s="125"/>
      <c r="B11" s="125" t="s">
        <v>117</v>
      </c>
      <c r="C11" s="2325" t="s">
        <v>118</v>
      </c>
      <c r="D11" s="2326"/>
      <c r="E11" s="2326"/>
      <c r="F11" s="2326"/>
      <c r="G11" s="2327"/>
      <c r="H11" s="126"/>
      <c r="I11" s="127" t="s">
        <v>115</v>
      </c>
      <c r="J11" s="2315" t="s">
        <v>304</v>
      </c>
      <c r="K11" s="2316"/>
      <c r="L11" s="2316"/>
      <c r="M11" s="2316"/>
      <c r="N11" s="2316"/>
      <c r="O11" s="2316"/>
      <c r="P11" s="2317"/>
      <c r="Q11" s="133"/>
      <c r="R11" s="128"/>
      <c r="S11" s="161"/>
      <c r="T11" s="162" t="s">
        <v>1232</v>
      </c>
      <c r="U11" s="162"/>
      <c r="V11" s="1987"/>
      <c r="W11" s="162"/>
      <c r="X11" s="163"/>
      <c r="Y11" s="129"/>
      <c r="Z11" s="129"/>
      <c r="AA11" s="130"/>
      <c r="AB11" s="94" t="s">
        <v>338</v>
      </c>
      <c r="AC11" s="1901">
        <f>VLOOKUP(C13,น้ำหนัก!A3:W13,4,FALSE)</f>
        <v>40</v>
      </c>
      <c r="AD11" s="1901">
        <f>VLOOKUP(C13,น้ำหนัก!A3:W13,5,FALSE)</f>
        <v>27.5</v>
      </c>
      <c r="AE11" s="1901">
        <v>2</v>
      </c>
      <c r="AF11" s="1928">
        <f>VLOOKUP(C13,น้ำหนัก!A3:X13,17,FALSE)</f>
        <v>0</v>
      </c>
      <c r="AG11" s="1928">
        <f>VLOOKUP(C13,น้ำหนัก!A3:X13,18,FALSE)</f>
        <v>0</v>
      </c>
      <c r="AH11" s="1929">
        <f>VLOOKUP(C13,น้ำหนัก!A3:X13,19,FALSE)</f>
        <v>0</v>
      </c>
      <c r="AI11" s="1928">
        <f>VLOOKUP(C13,น้ำหนัก!A3:X13,20,FALSE)</f>
        <v>0</v>
      </c>
      <c r="AJ11" s="1927"/>
      <c r="AK11" s="1927" t="str">
        <f>C11</f>
        <v>อาจารย์</v>
      </c>
      <c r="AL11" s="1927"/>
      <c r="AM11" s="1927"/>
      <c r="AN11" s="1927"/>
      <c r="AO11" s="1927"/>
      <c r="AP11" s="1927"/>
      <c r="AQ11" s="1927"/>
      <c r="AR11" s="1927"/>
    </row>
    <row r="12" spans="1:44" ht="5.25" customHeight="1" x14ac:dyDescent="0.55000000000000004">
      <c r="A12" s="125"/>
      <c r="B12" s="125"/>
      <c r="C12" s="106"/>
      <c r="D12" s="106"/>
      <c r="E12" s="106"/>
      <c r="F12" s="106"/>
      <c r="G12" s="126"/>
      <c r="H12" s="126"/>
      <c r="I12" s="132"/>
      <c r="J12" s="106"/>
      <c r="K12" s="106"/>
      <c r="L12" s="106"/>
      <c r="M12" s="106"/>
      <c r="N12" s="106"/>
      <c r="O12" s="106"/>
      <c r="P12" s="106"/>
      <c r="Q12" s="107"/>
      <c r="R12" s="128"/>
      <c r="S12" s="161"/>
      <c r="T12" s="162"/>
      <c r="U12" s="162"/>
      <c r="V12" s="162"/>
      <c r="W12" s="162"/>
      <c r="X12" s="163"/>
      <c r="Y12" s="129"/>
      <c r="Z12" s="129"/>
      <c r="AA12" s="130"/>
      <c r="AB12" s="94"/>
      <c r="AC12" s="1901"/>
      <c r="AD12" s="1901"/>
      <c r="AE12" s="1901"/>
      <c r="AF12" s="1928"/>
      <c r="AG12" s="1928"/>
      <c r="AH12" s="1929"/>
      <c r="AI12" s="1928"/>
      <c r="AJ12" s="1927"/>
      <c r="AK12" s="1927"/>
      <c r="AL12" s="1927"/>
      <c r="AM12" s="1927"/>
      <c r="AN12" s="1927"/>
      <c r="AO12" s="1927"/>
      <c r="AP12" s="1927"/>
      <c r="AQ12" s="1927"/>
      <c r="AR12" s="1927"/>
    </row>
    <row r="13" spans="1:44" ht="22.5" x14ac:dyDescent="0.55000000000000004">
      <c r="A13" s="125"/>
      <c r="B13" s="125" t="s">
        <v>121</v>
      </c>
      <c r="C13" s="2315" t="s">
        <v>29</v>
      </c>
      <c r="D13" s="2316"/>
      <c r="E13" s="2316"/>
      <c r="F13" s="2316"/>
      <c r="G13" s="2317"/>
      <c r="H13" s="126"/>
      <c r="I13" s="127" t="s">
        <v>615</v>
      </c>
      <c r="J13" s="2298" t="s">
        <v>1262</v>
      </c>
      <c r="K13" s="2299"/>
      <c r="L13" s="2299"/>
      <c r="M13" s="2299"/>
      <c r="N13" s="2299"/>
      <c r="O13" s="2299"/>
      <c r="P13" s="2300"/>
      <c r="Q13" s="107"/>
      <c r="R13" s="128"/>
      <c r="S13" s="161"/>
      <c r="T13" s="162"/>
      <c r="U13" s="164" t="s">
        <v>123</v>
      </c>
      <c r="V13" s="162"/>
      <c r="W13" s="164" t="s">
        <v>124</v>
      </c>
      <c r="X13" s="163"/>
      <c r="Y13" s="129"/>
      <c r="Z13" s="129"/>
      <c r="AA13" s="130"/>
      <c r="AB13" s="94" t="s">
        <v>367</v>
      </c>
      <c r="AC13" s="1901">
        <f>VLOOKUP(C13,น้ำหนัก!A3:W13,6,FALSE)</f>
        <v>10</v>
      </c>
      <c r="AD13" s="1901"/>
      <c r="AE13" s="1901">
        <v>3</v>
      </c>
      <c r="AF13" s="1928">
        <f>VLOOKUP(C13,น้ำหนัก!A3:X13,21,FALSE)</f>
        <v>0</v>
      </c>
      <c r="AG13" s="1928">
        <f>VLOOKUP(C13,น้ำหนัก!A3:X13,22,FALSE)</f>
        <v>0</v>
      </c>
      <c r="AH13" s="1929">
        <f>VLOOKUP(C13,น้ำหนัก!A3:X13,23,FALSE)</f>
        <v>0</v>
      </c>
      <c r="AI13" s="1928">
        <f>VLOOKUP(C13,น้ำหนัก!A3:X13,24,FALSE)</f>
        <v>0</v>
      </c>
      <c r="AJ13" s="1927"/>
      <c r="AK13" s="1927" t="str">
        <f>J9</f>
        <v>พนักงานมหาวิทยาลัย</v>
      </c>
      <c r="AL13" s="1927"/>
      <c r="AM13" s="1927"/>
      <c r="AN13" s="1927"/>
      <c r="AO13" s="1927"/>
      <c r="AP13" s="1927"/>
      <c r="AQ13" s="1927"/>
      <c r="AR13" s="1927"/>
    </row>
    <row r="14" spans="1:44" ht="24.75" x14ac:dyDescent="0.6">
      <c r="A14" s="127"/>
      <c r="B14" s="127" t="s">
        <v>125</v>
      </c>
      <c r="C14" s="134"/>
      <c r="D14" s="132"/>
      <c r="E14" s="132"/>
      <c r="F14" s="132"/>
      <c r="G14" s="132"/>
      <c r="H14" s="132"/>
      <c r="I14" s="127"/>
      <c r="J14" s="2446"/>
      <c r="K14" s="2446"/>
      <c r="L14" s="2446"/>
      <c r="M14" s="2446"/>
      <c r="N14" s="2446"/>
      <c r="O14" s="2446"/>
      <c r="P14" s="2446"/>
      <c r="Q14" s="106"/>
      <c r="R14" s="128"/>
      <c r="S14" s="135"/>
      <c r="T14" s="135"/>
      <c r="U14" s="135"/>
      <c r="V14" s="135"/>
      <c r="W14" s="135"/>
      <c r="X14" s="135"/>
      <c r="Y14" s="129"/>
      <c r="Z14" s="129"/>
      <c r="AA14" s="130"/>
      <c r="AB14" s="94" t="s">
        <v>339</v>
      </c>
      <c r="AC14" s="1901">
        <f>VLOOKUP(C13,น้ำหนัก!A3:W13,7,FALSE)</f>
        <v>5</v>
      </c>
      <c r="AD14" s="1901"/>
      <c r="AE14" s="220" t="s">
        <v>376</v>
      </c>
      <c r="AF14" s="1902" t="s">
        <v>335</v>
      </c>
      <c r="AG14" s="1902" t="s">
        <v>336</v>
      </c>
      <c r="AH14" s="1927"/>
      <c r="AI14" s="1927"/>
      <c r="AJ14" s="1927"/>
      <c r="AK14" s="1930" t="str">
        <f>J15</f>
        <v>30 กันยายน 2561</v>
      </c>
      <c r="AL14" s="1927"/>
      <c r="AM14" s="1927"/>
      <c r="AN14" s="1927"/>
      <c r="AO14" s="1927"/>
      <c r="AP14" s="1927"/>
      <c r="AQ14" s="1927"/>
      <c r="AR14" s="1927"/>
    </row>
    <row r="15" spans="1:44" ht="22.5" x14ac:dyDescent="0.55000000000000004">
      <c r="A15" s="127"/>
      <c r="B15" s="127" t="s">
        <v>126</v>
      </c>
      <c r="C15" s="2298" t="s">
        <v>127</v>
      </c>
      <c r="D15" s="2299"/>
      <c r="E15" s="2299"/>
      <c r="F15" s="2299"/>
      <c r="G15" s="2300"/>
      <c r="H15" s="132"/>
      <c r="I15" s="127" t="s">
        <v>128</v>
      </c>
      <c r="J15" s="2298" t="s">
        <v>129</v>
      </c>
      <c r="K15" s="2299"/>
      <c r="L15" s="2299"/>
      <c r="M15" s="2299"/>
      <c r="N15" s="2299"/>
      <c r="O15" s="2299"/>
      <c r="P15" s="2300"/>
      <c r="Q15" s="136"/>
      <c r="R15" s="128"/>
      <c r="S15" s="128"/>
      <c r="T15" s="129"/>
      <c r="U15" s="129"/>
      <c r="V15" s="129"/>
      <c r="W15" s="129"/>
      <c r="X15" s="129"/>
      <c r="Y15" s="129"/>
      <c r="Z15" s="129"/>
      <c r="AA15" s="129"/>
      <c r="AB15" s="94" t="s">
        <v>340</v>
      </c>
      <c r="AC15" s="246">
        <f>VLOOKUP(C13,น้ำหนัก!A3:W13,8,FALSE)</f>
        <v>5</v>
      </c>
      <c r="AD15" s="1901"/>
      <c r="AE15" s="63" t="s">
        <v>377</v>
      </c>
      <c r="AF15" s="1901">
        <f>AC11/2</f>
        <v>20</v>
      </c>
      <c r="AG15" s="1901">
        <f>AD11</f>
        <v>27.5</v>
      </c>
      <c r="AH15" s="1927"/>
      <c r="AI15" s="1927"/>
      <c r="AJ15" s="1927"/>
      <c r="AK15" s="1930" t="str">
        <f>J17</f>
        <v>คณบดี</v>
      </c>
      <c r="AL15" s="1927"/>
      <c r="AM15" s="1927"/>
      <c r="AN15" s="1927"/>
      <c r="AO15" s="1927"/>
      <c r="AP15" s="1927"/>
      <c r="AQ15" s="1927"/>
      <c r="AR15" s="1927"/>
    </row>
    <row r="16" spans="1:44" ht="5.25" customHeight="1" x14ac:dyDescent="0.55000000000000004">
      <c r="A16" s="127"/>
      <c r="B16" s="127"/>
      <c r="C16" s="137"/>
      <c r="D16" s="137"/>
      <c r="E16" s="137"/>
      <c r="F16" s="137"/>
      <c r="G16" s="132"/>
      <c r="H16" s="132"/>
      <c r="I16" s="127"/>
      <c r="J16" s="137"/>
      <c r="K16" s="137"/>
      <c r="L16" s="137"/>
      <c r="M16" s="137"/>
      <c r="N16" s="137"/>
      <c r="O16" s="137"/>
      <c r="P16" s="137"/>
      <c r="Q16" s="136"/>
      <c r="R16" s="128"/>
      <c r="S16" s="128"/>
      <c r="T16" s="129"/>
      <c r="U16" s="129"/>
      <c r="V16" s="129"/>
      <c r="W16" s="129"/>
      <c r="X16" s="129"/>
      <c r="Y16" s="129"/>
      <c r="Z16" s="129"/>
      <c r="AA16" s="129"/>
      <c r="AB16" s="94"/>
      <c r="AC16" s="246"/>
      <c r="AD16" s="1901"/>
      <c r="AE16" s="63"/>
      <c r="AF16" s="1931"/>
      <c r="AG16" s="1931"/>
      <c r="AH16" s="1927"/>
      <c r="AI16" s="1927"/>
      <c r="AJ16" s="1927"/>
      <c r="AK16" s="1927"/>
      <c r="AL16" s="1927"/>
      <c r="AM16" s="1927"/>
      <c r="AN16" s="1927"/>
      <c r="AO16" s="1927"/>
      <c r="AP16" s="1927"/>
      <c r="AQ16" s="1927"/>
      <c r="AR16" s="1927"/>
    </row>
    <row r="17" spans="1:44" ht="24.75" x14ac:dyDescent="0.6">
      <c r="A17" s="127"/>
      <c r="B17" s="127" t="s">
        <v>130</v>
      </c>
      <c r="C17" s="2298" t="s">
        <v>1263</v>
      </c>
      <c r="D17" s="2299"/>
      <c r="E17" s="2299"/>
      <c r="F17" s="2299"/>
      <c r="G17" s="2300"/>
      <c r="H17" s="132"/>
      <c r="I17" s="132" t="s">
        <v>131</v>
      </c>
      <c r="J17" s="2298" t="s">
        <v>1264</v>
      </c>
      <c r="K17" s="2299"/>
      <c r="L17" s="2299"/>
      <c r="M17" s="2299"/>
      <c r="N17" s="2299"/>
      <c r="O17" s="2299"/>
      <c r="P17" s="2300"/>
      <c r="Q17" s="136"/>
      <c r="R17" s="128"/>
      <c r="S17" s="1984"/>
      <c r="T17" s="158" t="s">
        <v>1231</v>
      </c>
      <c r="U17" s="159"/>
      <c r="V17" s="159"/>
      <c r="W17" s="159"/>
      <c r="X17" s="160"/>
      <c r="Y17" s="129"/>
      <c r="Z17" s="129"/>
      <c r="AA17" s="129"/>
      <c r="AB17" s="94" t="s">
        <v>341</v>
      </c>
      <c r="AC17" s="246">
        <f>VLOOKUP(C13,น้ำหนัก!A3:W13,9,FALSE)</f>
        <v>10</v>
      </c>
      <c r="AD17" s="1901"/>
      <c r="AE17" s="63" t="s">
        <v>378</v>
      </c>
      <c r="AF17" s="1901">
        <f>AC11/2</f>
        <v>20</v>
      </c>
      <c r="AG17" s="1931"/>
      <c r="AH17" s="1927"/>
      <c r="AI17" s="1927"/>
      <c r="AJ17" s="1927"/>
      <c r="AK17" s="1927" t="str">
        <f>C13</f>
        <v>กรรมการหลักสูตร</v>
      </c>
      <c r="AL17" s="1927"/>
      <c r="AM17" s="1927"/>
      <c r="AN17" s="1927"/>
      <c r="AO17" s="1927"/>
      <c r="AP17" s="1927"/>
      <c r="AQ17" s="1927"/>
      <c r="AR17" s="1927"/>
    </row>
    <row r="18" spans="1:44" ht="22.5" x14ac:dyDescent="0.55000000000000004">
      <c r="A18" s="127"/>
      <c r="B18" s="128"/>
      <c r="C18" s="106"/>
      <c r="D18" s="106"/>
      <c r="E18" s="132"/>
      <c r="F18" s="132"/>
      <c r="G18" s="132"/>
      <c r="H18" s="132"/>
      <c r="I18" s="134"/>
      <c r="J18" s="134"/>
      <c r="K18" s="134"/>
      <c r="L18" s="134"/>
      <c r="M18" s="134"/>
      <c r="N18" s="134"/>
      <c r="O18" s="134"/>
      <c r="P18" s="106"/>
      <c r="Q18" s="128"/>
      <c r="R18" s="128"/>
      <c r="S18" s="161"/>
      <c r="T18" s="162" t="s">
        <v>1234</v>
      </c>
      <c r="U18" s="162"/>
      <c r="V18" s="1985"/>
      <c r="W18" s="1989"/>
      <c r="X18" s="163"/>
      <c r="Y18" s="128"/>
      <c r="Z18" s="128"/>
      <c r="AA18" s="138"/>
      <c r="AB18" s="74"/>
      <c r="AC18" s="63"/>
      <c r="AD18" s="63"/>
      <c r="AE18" s="63"/>
      <c r="AF18" s="1927"/>
      <c r="AG18" s="1927"/>
      <c r="AH18" s="1927"/>
      <c r="AI18" s="1927"/>
      <c r="AJ18" s="1927"/>
      <c r="AK18" s="1927"/>
      <c r="AL18" s="1927"/>
      <c r="AM18" s="1927"/>
      <c r="AN18" s="1927"/>
      <c r="AO18" s="1927"/>
      <c r="AP18" s="1927"/>
      <c r="AQ18" s="1927"/>
      <c r="AR18" s="1927"/>
    </row>
    <row r="19" spans="1:44" ht="22.5" x14ac:dyDescent="0.55000000000000004">
      <c r="A19" s="139" t="s">
        <v>1</v>
      </c>
      <c r="B19" s="12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28"/>
      <c r="Q19" s="128"/>
      <c r="R19" s="63"/>
      <c r="S19" s="165"/>
      <c r="T19" s="1986"/>
      <c r="U19" s="1986"/>
      <c r="V19" s="1986"/>
      <c r="W19" s="1986"/>
      <c r="X19" s="166"/>
      <c r="Y19" s="128"/>
      <c r="Z19" s="128"/>
      <c r="AA19" s="74"/>
      <c r="AB19" s="272" t="s">
        <v>382</v>
      </c>
      <c r="AC19" s="63"/>
      <c r="AD19" s="63"/>
      <c r="AE19" s="63"/>
      <c r="AF19" s="1927"/>
      <c r="AG19" s="1927"/>
      <c r="AH19" s="1927"/>
      <c r="AI19" s="1927"/>
      <c r="AJ19" s="1927"/>
      <c r="AK19" s="1927"/>
      <c r="AL19" s="1927"/>
      <c r="AM19" s="1927"/>
      <c r="AN19" s="1927"/>
      <c r="AO19" s="1927"/>
      <c r="AP19" s="1927"/>
      <c r="AQ19" s="1932"/>
      <c r="AR19" s="1932"/>
    </row>
    <row r="20" spans="1:44" ht="22.5" x14ac:dyDescent="0.55000000000000004">
      <c r="A20" s="128"/>
      <c r="B20" s="141" t="s">
        <v>132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28"/>
      <c r="R20" s="63"/>
      <c r="S20" s="128"/>
      <c r="T20" s="128"/>
      <c r="U20" s="128"/>
      <c r="V20" s="128"/>
      <c r="W20" s="128"/>
      <c r="X20" s="128"/>
      <c r="Y20" s="128"/>
      <c r="Z20" s="128"/>
      <c r="AA20" s="74"/>
      <c r="AB20" s="2214">
        <v>1.1000000000000001</v>
      </c>
      <c r="AC20" s="2214"/>
      <c r="AD20" s="2215">
        <v>1.2</v>
      </c>
      <c r="AE20" s="2216"/>
      <c r="AF20" s="2215">
        <v>1.3</v>
      </c>
      <c r="AG20" s="2216"/>
      <c r="AH20" s="1933">
        <v>1.4</v>
      </c>
      <c r="AI20" s="1933">
        <v>1.5</v>
      </c>
      <c r="AJ20" s="1933">
        <v>2.1</v>
      </c>
      <c r="AK20" s="2223">
        <v>2.2000000000000002</v>
      </c>
      <c r="AL20" s="2223"/>
      <c r="AM20" s="2223"/>
      <c r="AN20" s="2223"/>
      <c r="AO20" s="2223"/>
      <c r="AP20" s="1934">
        <v>3.1</v>
      </c>
      <c r="AQ20" s="2244">
        <v>3.2</v>
      </c>
      <c r="AR20" s="2244"/>
    </row>
    <row r="21" spans="1:44" ht="40.5" customHeight="1" x14ac:dyDescent="0.55000000000000004">
      <c r="A21" s="128"/>
      <c r="B21" s="2307" t="s">
        <v>133</v>
      </c>
      <c r="C21" s="2307"/>
      <c r="D21" s="2307"/>
      <c r="E21" s="2307"/>
      <c r="F21" s="2307"/>
      <c r="G21" s="2307"/>
      <c r="H21" s="2307"/>
      <c r="I21" s="2307"/>
      <c r="J21" s="2307"/>
      <c r="K21" s="2307"/>
      <c r="L21" s="2307"/>
      <c r="M21" s="2307"/>
      <c r="N21" s="2307"/>
      <c r="O21" s="2307"/>
      <c r="P21" s="2307"/>
      <c r="Q21" s="2307"/>
      <c r="R21" s="63"/>
      <c r="S21" s="128"/>
      <c r="T21" s="128"/>
      <c r="U21" s="128"/>
      <c r="V21" s="128"/>
      <c r="W21" s="128"/>
      <c r="X21" s="128"/>
      <c r="Y21" s="128"/>
      <c r="Z21" s="128"/>
      <c r="AA21" s="74"/>
      <c r="AB21" s="285" t="b">
        <v>1</v>
      </c>
      <c r="AC21" s="286" t="b">
        <v>1</v>
      </c>
      <c r="AD21" s="286" t="b">
        <v>1</v>
      </c>
      <c r="AE21" s="286" t="b">
        <v>1</v>
      </c>
      <c r="AF21" s="1935" t="b">
        <v>1</v>
      </c>
      <c r="AG21" s="1935" t="b">
        <v>1</v>
      </c>
      <c r="AH21" s="1935" t="b">
        <v>0</v>
      </c>
      <c r="AI21" s="1935" t="b">
        <v>1</v>
      </c>
      <c r="AJ21" s="1935" t="b">
        <v>1</v>
      </c>
      <c r="AK21" s="1936">
        <f>I62*1</f>
        <v>0</v>
      </c>
      <c r="AL21" s="1936">
        <f>I63*2</f>
        <v>0</v>
      </c>
      <c r="AM21" s="1936">
        <f>I64*3</f>
        <v>6</v>
      </c>
      <c r="AN21" s="1936">
        <f>I65*4</f>
        <v>0</v>
      </c>
      <c r="AO21" s="1936">
        <f>I66*5</f>
        <v>0</v>
      </c>
      <c r="AP21" s="1937" t="b">
        <v>1</v>
      </c>
      <c r="AQ21" s="1938" t="b">
        <v>0</v>
      </c>
      <c r="AR21" s="1938" t="b">
        <v>1</v>
      </c>
    </row>
    <row r="22" spans="1:44" ht="39.75" customHeight="1" x14ac:dyDescent="0.55000000000000004">
      <c r="A22" s="128"/>
      <c r="B22" s="2307" t="s">
        <v>134</v>
      </c>
      <c r="C22" s="2307"/>
      <c r="D22" s="2307"/>
      <c r="E22" s="2307"/>
      <c r="F22" s="2307"/>
      <c r="G22" s="2307"/>
      <c r="H22" s="2307"/>
      <c r="I22" s="2307"/>
      <c r="J22" s="2307"/>
      <c r="K22" s="2307"/>
      <c r="L22" s="2307"/>
      <c r="M22" s="2307"/>
      <c r="N22" s="2307"/>
      <c r="O22" s="2307"/>
      <c r="P22" s="2307"/>
      <c r="Q22" s="2307"/>
      <c r="R22" s="63"/>
      <c r="S22" s="128"/>
      <c r="T22" s="128"/>
      <c r="U22" s="128"/>
      <c r="V22" s="128"/>
      <c r="W22" s="128"/>
      <c r="X22" s="128"/>
      <c r="Y22" s="128"/>
      <c r="Z22" s="128"/>
      <c r="AA22" s="74"/>
      <c r="AB22" s="2217">
        <f>IF(AND(AB21=TRUE,AC21=TRUE),1,0)</f>
        <v>1</v>
      </c>
      <c r="AC22" s="2218"/>
      <c r="AD22" s="2219">
        <f>IF(AND(AB22&lt;&gt;0,OR(AD21=TRUE,AE21=TRUE)),3,0)</f>
        <v>3</v>
      </c>
      <c r="AE22" s="2220"/>
      <c r="AF22" s="2221">
        <f>IF(AND(AF21=TRUE,AG21=TRUE),1,0)</f>
        <v>1</v>
      </c>
      <c r="AG22" s="2222"/>
      <c r="AH22" s="1936">
        <f>IF(AND(AH21=TRUE,AB21=TRUE),3,0)</f>
        <v>0</v>
      </c>
      <c r="AI22" s="1936">
        <f>IF(AI21=TRUE,2,0)</f>
        <v>2</v>
      </c>
      <c r="AJ22" s="1936">
        <f>IF(AJ21=TRUE,5,0)</f>
        <v>5</v>
      </c>
      <c r="AK22" s="2221">
        <f>IF(SUM(AK21:AO21)&gt;5,5,SUM(AK21:AO21))</f>
        <v>5</v>
      </c>
      <c r="AL22" s="2224"/>
      <c r="AM22" s="2224"/>
      <c r="AN22" s="2224"/>
      <c r="AO22" s="2222"/>
      <c r="AP22" s="1939">
        <f>IF(AP21=TRUE,2.5,0)</f>
        <v>2.5</v>
      </c>
      <c r="AQ22" s="2245">
        <f>IF(OR(AQ21=TRUE,AR21=TRUE),2.5,0)</f>
        <v>2.5</v>
      </c>
      <c r="AR22" s="2245"/>
    </row>
    <row r="23" spans="1:44" s="248" customFormat="1" ht="18" customHeight="1" x14ac:dyDescent="0.2">
      <c r="A23" s="247"/>
      <c r="B23" s="2308" t="s">
        <v>1241</v>
      </c>
      <c r="C23" s="2308"/>
      <c r="D23" s="2308"/>
      <c r="E23" s="2308"/>
      <c r="F23" s="2308"/>
      <c r="G23" s="2308"/>
      <c r="H23" s="2308"/>
      <c r="I23" s="2308"/>
      <c r="J23" s="2308"/>
      <c r="K23" s="2308"/>
      <c r="L23" s="2308"/>
      <c r="M23" s="2308"/>
      <c r="N23" s="2308"/>
      <c r="O23" s="2308"/>
      <c r="P23" s="2308"/>
      <c r="Q23" s="247"/>
      <c r="R23" s="93"/>
      <c r="S23" s="247"/>
      <c r="T23" s="247"/>
      <c r="U23" s="247"/>
      <c r="V23" s="247"/>
      <c r="W23" s="247"/>
      <c r="X23" s="247"/>
      <c r="Y23" s="247"/>
      <c r="Z23" s="247"/>
      <c r="AA23" s="96"/>
      <c r="AB23" s="96"/>
      <c r="AC23" s="93"/>
      <c r="AD23" s="93"/>
      <c r="AE23" s="93"/>
    </row>
    <row r="24" spans="1:44" s="248" customFormat="1" ht="18.75" customHeight="1" x14ac:dyDescent="0.2">
      <c r="A24" s="247"/>
      <c r="B24" s="249" t="s">
        <v>135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47"/>
      <c r="R24" s="93"/>
      <c r="S24" s="247"/>
      <c r="T24" s="247"/>
      <c r="U24" s="247"/>
      <c r="V24" s="247"/>
      <c r="W24" s="247"/>
      <c r="X24" s="247"/>
      <c r="Y24" s="247"/>
      <c r="Z24" s="247"/>
      <c r="AA24" s="96"/>
      <c r="AB24" s="290" t="s">
        <v>346</v>
      </c>
      <c r="AC24" s="93"/>
      <c r="AD24" s="93"/>
      <c r="AE24" s="93"/>
    </row>
    <row r="25" spans="1:44" s="248" customFormat="1" ht="22.5" x14ac:dyDescent="0.2">
      <c r="A25" s="247"/>
      <c r="B25" s="249" t="s">
        <v>136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247"/>
      <c r="R25" s="93"/>
      <c r="S25" s="247"/>
      <c r="T25" s="247"/>
      <c r="U25" s="247"/>
      <c r="V25" s="247"/>
      <c r="W25" s="247"/>
      <c r="X25" s="247"/>
      <c r="Y25" s="247"/>
      <c r="Z25" s="247"/>
      <c r="AA25" s="96"/>
      <c r="AB25" s="96" t="s">
        <v>238</v>
      </c>
      <c r="AC25" s="291">
        <f>VLOOKUP(C13,น้ำหนัก!A3:AG13,25,FALSE)</f>
        <v>0</v>
      </c>
      <c r="AD25" s="93" t="s">
        <v>240</v>
      </c>
      <c r="AE25" s="93">
        <f>VLOOKUP(C13,น้ำหนัก!A3:AG13,30,FALSE)</f>
        <v>0</v>
      </c>
    </row>
    <row r="26" spans="1:44" ht="7.5" customHeight="1" x14ac:dyDescent="0.55000000000000004">
      <c r="A26" s="128"/>
      <c r="B26" s="128"/>
      <c r="C26" s="129"/>
      <c r="D26" s="129"/>
      <c r="E26" s="129"/>
      <c r="F26" s="106"/>
      <c r="G26" s="134"/>
      <c r="H26" s="129"/>
      <c r="I26" s="129"/>
      <c r="J26" s="129"/>
      <c r="K26" s="129"/>
      <c r="L26" s="129"/>
      <c r="M26" s="129"/>
      <c r="N26" s="129"/>
      <c r="O26" s="129"/>
      <c r="P26" s="128"/>
      <c r="Q26" s="128"/>
      <c r="R26" s="63"/>
      <c r="S26" s="128"/>
      <c r="T26" s="128"/>
      <c r="U26" s="128"/>
      <c r="V26" s="128"/>
      <c r="W26" s="128"/>
      <c r="X26" s="128"/>
      <c r="Y26" s="128"/>
      <c r="Z26" s="128"/>
      <c r="AA26" s="74"/>
      <c r="AC26" s="2042"/>
      <c r="AD26" s="63" t="s">
        <v>244</v>
      </c>
      <c r="AE26" s="63"/>
    </row>
    <row r="27" spans="1:44" ht="24.75" x14ac:dyDescent="0.6">
      <c r="A27" s="144" t="s">
        <v>137</v>
      </c>
      <c r="B27" s="121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  <c r="N27" s="146"/>
      <c r="O27" s="146"/>
      <c r="P27" s="121"/>
      <c r="Q27" s="12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74" t="s">
        <v>242</v>
      </c>
      <c r="AC27" s="2043">
        <f>VLOOKUP(C13,น้ำหนัก!A3:AG13,26,FALSE)</f>
        <v>0</v>
      </c>
      <c r="AD27" s="63" t="s">
        <v>244</v>
      </c>
      <c r="AE27" s="63">
        <f>VLOOKUP(C13,น้ำหนัก!A3:AG13,31,FALSE)</f>
        <v>0</v>
      </c>
    </row>
    <row r="28" spans="1:44" ht="22.5" x14ac:dyDescent="0.55000000000000004">
      <c r="A28" s="2318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1. ภาระงานบริหาร  (จำนวน 7.5 ชั่วโมงทำการ/สัปดาห์ คิดเป็นร้อยละ 10)</v>
      </c>
      <c r="B28" s="2319"/>
      <c r="C28" s="2319"/>
      <c r="D28" s="2319"/>
      <c r="E28" s="2319"/>
      <c r="F28" s="2319"/>
      <c r="G28" s="2319"/>
      <c r="H28" s="2319"/>
      <c r="I28" s="2319"/>
      <c r="J28" s="2319"/>
      <c r="K28" s="2319"/>
      <c r="L28" s="2319"/>
      <c r="M28" s="2319"/>
      <c r="N28" s="2319"/>
      <c r="O28" s="2319"/>
      <c r="P28" s="2319"/>
      <c r="Q28" s="2320"/>
      <c r="R28" s="63"/>
      <c r="S28" s="2228" t="s">
        <v>138</v>
      </c>
      <c r="T28" s="2229"/>
      <c r="U28" s="2229"/>
      <c r="V28" s="2229"/>
      <c r="W28" s="2229"/>
      <c r="X28" s="2229"/>
      <c r="Y28" s="2229"/>
      <c r="Z28" s="2230"/>
      <c r="AA28" s="74"/>
      <c r="AB28" s="61" t="s">
        <v>245</v>
      </c>
      <c r="AC28" s="2042">
        <f>VLOOKUP(C13,น้ำหนัก!A3:AG13,27,FALSE)</f>
        <v>0</v>
      </c>
      <c r="AD28" s="2044" t="s">
        <v>247</v>
      </c>
      <c r="AE28" s="2044">
        <f>VLOOKUP(C13,น้ำหนัก!A3:AG13,32,FALSE)</f>
        <v>0</v>
      </c>
    </row>
    <row r="29" spans="1:44" ht="22.5" x14ac:dyDescent="0.55000000000000004">
      <c r="A29" s="2168" t="s">
        <v>139</v>
      </c>
      <c r="B29" s="2169"/>
      <c r="C29" s="2170"/>
      <c r="D29" s="2154" t="s">
        <v>140</v>
      </c>
      <c r="E29" s="2155"/>
      <c r="F29" s="2155"/>
      <c r="G29" s="2155"/>
      <c r="H29" s="2156"/>
      <c r="I29" s="2160" t="s">
        <v>141</v>
      </c>
      <c r="J29" s="2161"/>
      <c r="K29" s="2161" t="s">
        <v>142</v>
      </c>
      <c r="L29" s="2162" t="s">
        <v>143</v>
      </c>
      <c r="M29" s="2167"/>
      <c r="N29" s="2167"/>
      <c r="O29" s="2167"/>
      <c r="P29" s="2167"/>
      <c r="Q29" s="2163"/>
      <c r="R29" s="75"/>
      <c r="S29" s="223"/>
      <c r="T29" s="158" t="s">
        <v>144</v>
      </c>
      <c r="U29" s="224"/>
      <c r="V29" s="224"/>
      <c r="W29" s="224"/>
      <c r="X29" s="224"/>
      <c r="Y29" s="224"/>
      <c r="Z29" s="225"/>
      <c r="AA29" s="98"/>
      <c r="AB29" s="74" t="s">
        <v>248</v>
      </c>
      <c r="AC29" s="292">
        <f>VLOOKUP(C13,น้ำหนัก!A3:AG13,28,FALSE)</f>
        <v>0</v>
      </c>
      <c r="AD29" s="63" t="s">
        <v>250</v>
      </c>
      <c r="AE29" s="63">
        <f>VLOOKUP(C13,น้ำหนัก!A3:AG13,33,FALSE)</f>
        <v>0</v>
      </c>
    </row>
    <row r="30" spans="1:44" ht="22.5" customHeight="1" x14ac:dyDescent="0.55000000000000004">
      <c r="A30" s="2301"/>
      <c r="B30" s="2302"/>
      <c r="C30" s="2303"/>
      <c r="D30" s="2157"/>
      <c r="E30" s="2158"/>
      <c r="F30" s="2158"/>
      <c r="G30" s="2158"/>
      <c r="H30" s="2159"/>
      <c r="I30" s="2304"/>
      <c r="J30" s="2305"/>
      <c r="K30" s="2305"/>
      <c r="L30" s="2051">
        <v>1</v>
      </c>
      <c r="M30" s="2051">
        <v>2</v>
      </c>
      <c r="N30" s="2051">
        <v>3</v>
      </c>
      <c r="O30" s="2051">
        <v>4</v>
      </c>
      <c r="P30" s="2321">
        <v>5</v>
      </c>
      <c r="Q30" s="2321"/>
      <c r="R30" s="75"/>
      <c r="S30" s="161"/>
      <c r="T30" s="2151" t="s">
        <v>145</v>
      </c>
      <c r="U30" s="2151"/>
      <c r="V30" s="2151"/>
      <c r="W30" s="2151"/>
      <c r="X30" s="2151"/>
      <c r="Y30" s="2151"/>
      <c r="Z30" s="163"/>
      <c r="AA30" s="98"/>
      <c r="AB30" s="98" t="s">
        <v>252</v>
      </c>
      <c r="AC30" s="292">
        <f>VLOOKUP(C13,น้ำหนัก!A3:AG13,29,FALSE)</f>
        <v>0</v>
      </c>
      <c r="AD30" s="75"/>
      <c r="AE30" s="75"/>
    </row>
    <row r="31" spans="1:44" ht="80.25" customHeight="1" x14ac:dyDescent="0.55000000000000004">
      <c r="A31" s="147" t="str">
        <f>IF(B31&lt;&gt;"","1)","")</f>
        <v>1)</v>
      </c>
      <c r="B31" s="2204" t="str">
        <f>IF(AH9=0,"",AF9)</f>
        <v>การบริหารงานหลักสูตร</v>
      </c>
      <c r="C31" s="2205"/>
      <c r="D31" s="2189" t="str">
        <f>IF(AH9=0,"",AG9)</f>
        <v>ระดับความสำเร็จในการบริหารงานหลักสูตร</v>
      </c>
      <c r="E31" s="2190"/>
      <c r="F31" s="2190"/>
      <c r="G31" s="2190"/>
      <c r="H31" s="2206"/>
      <c r="I31" s="2207">
        <f>IF(B31&lt;&gt;"",4,"")</f>
        <v>4</v>
      </c>
      <c r="J31" s="2207"/>
      <c r="K31" s="266">
        <f>IF(AF9=0,"",AH9)</f>
        <v>10</v>
      </c>
      <c r="L31" s="2330" t="str">
        <f>IF(AH9=0,"",AI9)</f>
        <v>คะแนน 1-5 (ประเมินจากผู้บังคับบัญชา)</v>
      </c>
      <c r="M31" s="2331"/>
      <c r="N31" s="2331"/>
      <c r="O31" s="2331"/>
      <c r="P31" s="2331"/>
      <c r="Q31" s="2332"/>
      <c r="R31" s="63"/>
      <c r="S31" s="165"/>
      <c r="T31" s="2152"/>
      <c r="U31" s="2152"/>
      <c r="V31" s="2152"/>
      <c r="W31" s="2152"/>
      <c r="X31" s="2152"/>
      <c r="Y31" s="2152"/>
      <c r="Z31" s="166"/>
      <c r="AA31" s="94"/>
      <c r="AB31" s="94"/>
      <c r="AC31" s="94"/>
      <c r="AD31" s="63"/>
      <c r="AE31" s="63"/>
    </row>
    <row r="32" spans="1:44" ht="80.25" customHeight="1" x14ac:dyDescent="0.55000000000000004">
      <c r="A32" s="147" t="str">
        <f>IF(B32&lt;&gt;"","2)","")</f>
        <v/>
      </c>
      <c r="B32" s="2204" t="str">
        <f>IF(AH11=0,"",AF11)</f>
        <v/>
      </c>
      <c r="C32" s="2205"/>
      <c r="D32" s="2189" t="str">
        <f>IF(AH11=0,"",AG11)</f>
        <v/>
      </c>
      <c r="E32" s="2190"/>
      <c r="F32" s="2190"/>
      <c r="G32" s="2190"/>
      <c r="H32" s="2206"/>
      <c r="I32" s="2207" t="str">
        <f>IF(B32&lt;&gt;"",4,"")</f>
        <v/>
      </c>
      <c r="J32" s="2207"/>
      <c r="K32" s="266" t="str">
        <f>IF(AF11=0,"",AH11)</f>
        <v/>
      </c>
      <c r="L32" s="2330" t="str">
        <f>IF(AH11=0,"",AI11)</f>
        <v/>
      </c>
      <c r="M32" s="2331"/>
      <c r="N32" s="2331"/>
      <c r="O32" s="2331"/>
      <c r="P32" s="2331"/>
      <c r="Q32" s="2332"/>
      <c r="R32" s="63"/>
      <c r="S32" s="130"/>
      <c r="T32" s="283"/>
      <c r="U32" s="283"/>
      <c r="V32" s="283"/>
      <c r="W32" s="283"/>
      <c r="X32" s="283"/>
      <c r="Y32" s="283"/>
      <c r="Z32" s="130"/>
      <c r="AA32" s="94"/>
      <c r="AB32" s="94"/>
      <c r="AC32" s="94"/>
      <c r="AD32" s="63"/>
      <c r="AE32" s="63"/>
    </row>
    <row r="33" spans="1:31" ht="45" customHeight="1" x14ac:dyDescent="0.55000000000000004">
      <c r="A33" s="148" t="str">
        <f>IF(B33&lt;&gt;"","3)","")</f>
        <v/>
      </c>
      <c r="B33" s="2328" t="str">
        <f>IF(AH13=0,"",AF13)</f>
        <v/>
      </c>
      <c r="C33" s="2329"/>
      <c r="D33" s="2189" t="str">
        <f>IF(AH13=0,"",AG13)</f>
        <v/>
      </c>
      <c r="E33" s="2190"/>
      <c r="F33" s="2190"/>
      <c r="G33" s="2190"/>
      <c r="H33" s="2206"/>
      <c r="I33" s="2239" t="str">
        <f>IF(B33&lt;&gt;"",4,"")</f>
        <v/>
      </c>
      <c r="J33" s="2239"/>
      <c r="K33" s="267" t="str">
        <f>IF(AF13=0,"",AH13)</f>
        <v/>
      </c>
      <c r="L33" s="2208" t="str">
        <f>IF(AH13=0,"",AI13)</f>
        <v/>
      </c>
      <c r="M33" s="2209"/>
      <c r="N33" s="2209"/>
      <c r="O33" s="2209"/>
      <c r="P33" s="2209"/>
      <c r="Q33" s="2210"/>
      <c r="R33" s="63"/>
      <c r="S33" s="130"/>
      <c r="T33" s="2231"/>
      <c r="U33" s="2231"/>
      <c r="V33" s="2231"/>
      <c r="W33" s="2231"/>
      <c r="X33" s="2231"/>
      <c r="Y33" s="2231"/>
      <c r="Z33" s="130"/>
      <c r="AA33" s="94"/>
      <c r="AB33" s="94"/>
      <c r="AC33" s="94"/>
    </row>
    <row r="34" spans="1:31" ht="22.5" x14ac:dyDescent="0.55000000000000004">
      <c r="A34" s="2060"/>
      <c r="B34" s="2238"/>
      <c r="C34" s="2238"/>
      <c r="D34" s="2232" t="s">
        <v>146</v>
      </c>
      <c r="E34" s="2232"/>
      <c r="F34" s="2232"/>
      <c r="G34" s="2232"/>
      <c r="H34" s="2232"/>
      <c r="I34" s="2232"/>
      <c r="J34" s="2233"/>
      <c r="K34" s="2059">
        <f>SUM(K31:K33)</f>
        <v>10</v>
      </c>
      <c r="L34" s="2211"/>
      <c r="M34" s="2212"/>
      <c r="N34" s="2212"/>
      <c r="O34" s="2212"/>
      <c r="P34" s="2212"/>
      <c r="Q34" s="2213"/>
      <c r="R34" s="63"/>
      <c r="S34" s="130"/>
      <c r="T34" s="226"/>
      <c r="U34" s="226"/>
      <c r="V34" s="226"/>
      <c r="W34" s="226"/>
      <c r="X34" s="226"/>
      <c r="Y34" s="226"/>
      <c r="Z34" s="130"/>
      <c r="AA34" s="94"/>
      <c r="AB34" s="94"/>
      <c r="AC34" s="94"/>
    </row>
    <row r="35" spans="1:31" ht="22.5" x14ac:dyDescent="0.55000000000000004">
      <c r="A35" s="2234" t="str">
        <f>"2. ภาระงานตามพันธกิจ   (ร้อยละ "&amp;AC11&amp;")"</f>
        <v>2. ภาระงานตามพันธกิจ   (ร้อยละ 40)</v>
      </c>
      <c r="B35" s="2235"/>
      <c r="C35" s="2235"/>
      <c r="D35" s="2235"/>
      <c r="E35" s="2235"/>
      <c r="F35" s="2235"/>
      <c r="G35" s="2235"/>
      <c r="H35" s="2235"/>
      <c r="I35" s="2235"/>
      <c r="J35" s="2235"/>
      <c r="K35" s="2235"/>
      <c r="L35" s="2235"/>
      <c r="M35" s="2235"/>
      <c r="N35" s="2235"/>
      <c r="O35" s="2235"/>
      <c r="P35" s="2235"/>
      <c r="Q35" s="2236"/>
      <c r="R35" s="63"/>
      <c r="S35" s="128"/>
      <c r="T35" s="128"/>
      <c r="U35" s="128"/>
      <c r="V35" s="128"/>
      <c r="W35" s="128"/>
      <c r="X35" s="128"/>
      <c r="Y35" s="128"/>
      <c r="Z35" s="128"/>
      <c r="AA35" s="74"/>
      <c r="AB35" s="74"/>
      <c r="AC35" s="63"/>
    </row>
    <row r="36" spans="1:31" ht="22.5" x14ac:dyDescent="0.55000000000000004">
      <c r="A36" s="183" t="s">
        <v>147</v>
      </c>
      <c r="B36" s="2225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27.5 ชั่วโมงทำการ/สัปดาห์ คิดเป็นร้อยละ 20)</v>
      </c>
      <c r="C36" s="2225"/>
      <c r="D36" s="2225"/>
      <c r="E36" s="2225"/>
      <c r="F36" s="2225"/>
      <c r="G36" s="2225"/>
      <c r="H36" s="2225"/>
      <c r="I36" s="2225"/>
      <c r="J36" s="2225"/>
      <c r="K36" s="2225"/>
      <c r="L36" s="2225"/>
      <c r="M36" s="2225"/>
      <c r="N36" s="2225"/>
      <c r="O36" s="2225"/>
      <c r="P36" s="2225"/>
      <c r="Q36" s="2237"/>
      <c r="R36" s="63"/>
      <c r="S36" s="128"/>
      <c r="T36" s="128"/>
      <c r="U36" s="128"/>
      <c r="V36" s="128"/>
      <c r="W36" s="128"/>
      <c r="X36" s="128"/>
      <c r="Y36" s="128"/>
      <c r="Z36" s="128"/>
      <c r="AA36" s="74"/>
      <c r="AB36" s="74"/>
      <c r="AC36" s="63"/>
    </row>
    <row r="37" spans="1:31" ht="27.75" customHeight="1" x14ac:dyDescent="0.45">
      <c r="A37" s="2168" t="s">
        <v>139</v>
      </c>
      <c r="B37" s="2169"/>
      <c r="C37" s="2170"/>
      <c r="D37" s="2154" t="s">
        <v>140</v>
      </c>
      <c r="E37" s="2155"/>
      <c r="F37" s="2155"/>
      <c r="G37" s="2155"/>
      <c r="H37" s="2156"/>
      <c r="I37" s="2309" t="str">
        <f>"(ค) ค่าเป้าหมาย("&amp;AD11&amp;" ชม.ทำการ/สัปดาห์"&amp;")"</f>
        <v>(ค) ค่าเป้าหมาย(27.5 ชม.ทำการ/สัปดาห์)</v>
      </c>
      <c r="J37" s="2310"/>
      <c r="K37" s="2313" t="str">
        <f>"(ง) น้ำหนัก (ร้อยละ "&amp;AF17&amp;")"</f>
        <v>(ง) น้ำหนัก (ร้อยละ 20)</v>
      </c>
      <c r="L37" s="2162" t="s">
        <v>143</v>
      </c>
      <c r="M37" s="2167"/>
      <c r="N37" s="2167"/>
      <c r="O37" s="2167"/>
      <c r="P37" s="2167"/>
      <c r="Q37" s="2163"/>
      <c r="R37" s="75"/>
      <c r="S37" s="2228" t="s">
        <v>148</v>
      </c>
      <c r="T37" s="2229"/>
      <c r="U37" s="2229"/>
      <c r="V37" s="2229"/>
      <c r="W37" s="2229"/>
      <c r="X37" s="2229"/>
      <c r="Y37" s="2229"/>
      <c r="Z37" s="2230"/>
      <c r="AA37" s="101"/>
      <c r="AB37" s="101"/>
      <c r="AC37" s="75"/>
    </row>
    <row r="38" spans="1:31" ht="25.5" customHeight="1" thickBot="1" x14ac:dyDescent="0.6">
      <c r="A38" s="2301"/>
      <c r="B38" s="2302"/>
      <c r="C38" s="2303"/>
      <c r="D38" s="2157"/>
      <c r="E38" s="2158"/>
      <c r="F38" s="2158"/>
      <c r="G38" s="2158"/>
      <c r="H38" s="2159"/>
      <c r="I38" s="2311"/>
      <c r="J38" s="2312"/>
      <c r="K38" s="2314"/>
      <c r="L38" s="2052">
        <v>0</v>
      </c>
      <c r="M38" s="2052">
        <v>1</v>
      </c>
      <c r="N38" s="2052">
        <v>2</v>
      </c>
      <c r="O38" s="2052">
        <v>3</v>
      </c>
      <c r="P38" s="2052">
        <v>4</v>
      </c>
      <c r="Q38" s="2053">
        <v>5</v>
      </c>
      <c r="R38" s="75"/>
      <c r="S38" s="223"/>
      <c r="T38" s="158" t="s">
        <v>149</v>
      </c>
      <c r="U38" s="224"/>
      <c r="V38" s="224"/>
      <c r="W38" s="224"/>
      <c r="X38" s="224"/>
      <c r="Y38" s="224"/>
      <c r="Z38" s="225"/>
      <c r="AA38" s="98"/>
      <c r="AB38" s="98"/>
      <c r="AC38" s="75"/>
    </row>
    <row r="39" spans="1:31" ht="23.25" thickBot="1" x14ac:dyDescent="0.6">
      <c r="A39" s="184" t="s">
        <v>150</v>
      </c>
      <c r="B39" s="2198" t="s">
        <v>151</v>
      </c>
      <c r="C39" s="2199"/>
      <c r="D39" s="2197" t="s">
        <v>152</v>
      </c>
      <c r="E39" s="2198"/>
      <c r="F39" s="2198"/>
      <c r="G39" s="2198"/>
      <c r="H39" s="2198"/>
      <c r="I39" s="2240">
        <v>12.5</v>
      </c>
      <c r="J39" s="2241"/>
      <c r="K39" s="149">
        <f>IF(AC11&lt;&gt;0,(I39/AD11*100)*AF15/100,0)</f>
        <v>9.0909090909090899</v>
      </c>
      <c r="L39" s="150">
        <v>0</v>
      </c>
      <c r="M39" s="150"/>
      <c r="N39" s="150"/>
      <c r="O39" s="150"/>
      <c r="P39" s="150"/>
      <c r="Q39" s="151" t="str">
        <f>IF(K39=0,"","&gt;="&amp;I39)</f>
        <v>&gt;=12.5</v>
      </c>
      <c r="R39" s="63"/>
      <c r="S39" s="161"/>
      <c r="T39" s="2151" t="s">
        <v>153</v>
      </c>
      <c r="U39" s="2151"/>
      <c r="V39" s="2151"/>
      <c r="W39" s="2151"/>
      <c r="X39" s="2151"/>
      <c r="Y39" s="2151"/>
      <c r="Z39" s="163"/>
      <c r="AA39" s="94"/>
      <c r="AB39" s="94"/>
      <c r="AC39" s="63"/>
    </row>
    <row r="40" spans="1:31" ht="23.25" thickBot="1" x14ac:dyDescent="0.6">
      <c r="A40" s="184" t="s">
        <v>154</v>
      </c>
      <c r="B40" s="2200" t="s">
        <v>155</v>
      </c>
      <c r="C40" s="2201"/>
      <c r="D40" s="2197" t="s">
        <v>152</v>
      </c>
      <c r="E40" s="2198"/>
      <c r="F40" s="2198"/>
      <c r="G40" s="2198"/>
      <c r="H40" s="2198"/>
      <c r="I40" s="2240">
        <v>12</v>
      </c>
      <c r="J40" s="2241"/>
      <c r="K40" s="149">
        <f>IF(AC11&lt;&gt;0,(I40/AD11*100)*AF15/100,0)</f>
        <v>8.7272727272727266</v>
      </c>
      <c r="L40" s="175">
        <v>0</v>
      </c>
      <c r="M40" s="175"/>
      <c r="N40" s="175"/>
      <c r="O40" s="175"/>
      <c r="P40" s="175"/>
      <c r="Q40" s="151" t="str">
        <f>IF(K40=0,"","&gt;="&amp;I40)</f>
        <v>&gt;=12</v>
      </c>
      <c r="R40" s="63"/>
      <c r="S40" s="161"/>
      <c r="T40" s="2242" t="s">
        <v>156</v>
      </c>
      <c r="U40" s="2242"/>
      <c r="V40" s="2242"/>
      <c r="W40" s="2242"/>
      <c r="X40" s="2242"/>
      <c r="Y40" s="2242"/>
      <c r="Z40" s="2243"/>
      <c r="AA40" s="94"/>
      <c r="AB40" s="94"/>
      <c r="AC40" s="63"/>
    </row>
    <row r="41" spans="1:31" ht="23.25" thickBot="1" x14ac:dyDescent="0.6">
      <c r="A41" s="184" t="s">
        <v>157</v>
      </c>
      <c r="B41" s="2200" t="s">
        <v>158</v>
      </c>
      <c r="C41" s="2201"/>
      <c r="D41" s="2197" t="s">
        <v>152</v>
      </c>
      <c r="E41" s="2198"/>
      <c r="F41" s="2198"/>
      <c r="G41" s="2198"/>
      <c r="H41" s="2198"/>
      <c r="I41" s="2240">
        <v>2</v>
      </c>
      <c r="J41" s="2241"/>
      <c r="K41" s="149">
        <f>IF(AC11&lt;&gt;0,(I41/AD11*100)*AF15/100,0)</f>
        <v>1.4545454545454544</v>
      </c>
      <c r="L41" s="175">
        <v>0</v>
      </c>
      <c r="M41" s="175"/>
      <c r="N41" s="175"/>
      <c r="O41" s="175"/>
      <c r="P41" s="175"/>
      <c r="Q41" s="151" t="str">
        <f>IF(K41=0,"","&gt;="&amp;I41)</f>
        <v>&gt;=2</v>
      </c>
      <c r="R41" s="63"/>
      <c r="S41" s="161"/>
      <c r="T41" s="2151" t="s">
        <v>159</v>
      </c>
      <c r="U41" s="2151"/>
      <c r="V41" s="2151"/>
      <c r="W41" s="2151"/>
      <c r="X41" s="2151"/>
      <c r="Y41" s="2151"/>
      <c r="Z41" s="163"/>
      <c r="AA41" s="94"/>
      <c r="AB41" s="94"/>
      <c r="AC41" s="63"/>
    </row>
    <row r="42" spans="1:31" ht="23.25" thickBot="1" x14ac:dyDescent="0.6">
      <c r="A42" s="184" t="s">
        <v>160</v>
      </c>
      <c r="B42" s="2200" t="s">
        <v>161</v>
      </c>
      <c r="C42" s="2201"/>
      <c r="D42" s="2197" t="s">
        <v>152</v>
      </c>
      <c r="E42" s="2198"/>
      <c r="F42" s="2198"/>
      <c r="G42" s="2198"/>
      <c r="H42" s="2198"/>
      <c r="I42" s="2179">
        <v>1</v>
      </c>
      <c r="J42" s="2180"/>
      <c r="K42" s="149">
        <f>IF(AC11&lt;&gt;0,(I42/AD11*100)*AF15/100,0)</f>
        <v>0.72727272727272718</v>
      </c>
      <c r="L42" s="175">
        <v>0</v>
      </c>
      <c r="M42" s="175"/>
      <c r="N42" s="175"/>
      <c r="O42" s="175"/>
      <c r="P42" s="175"/>
      <c r="Q42" s="151" t="str">
        <f>IF(K42=0,"","&gt;="&amp;I42)</f>
        <v>&gt;=1</v>
      </c>
      <c r="R42" s="63"/>
      <c r="S42" s="227"/>
      <c r="T42" s="228" t="str">
        <f>"   ต้องรวมกันเท่ากับ "&amp;AD11&amp;" ชั่วโมงทำการ/สัปดาห์"</f>
        <v xml:space="preserve">   ต้องรวมกันเท่ากับ 27.5 ชั่วโมงทำการ/สัปดาห์</v>
      </c>
      <c r="U42" s="162"/>
      <c r="V42" s="162"/>
      <c r="W42" s="162"/>
      <c r="X42" s="162"/>
      <c r="Y42" s="162"/>
      <c r="Z42" s="163"/>
      <c r="AA42" s="94"/>
      <c r="AB42" s="94"/>
      <c r="AC42" s="63"/>
    </row>
    <row r="43" spans="1:31" ht="23.25" thickBot="1" x14ac:dyDescent="0.6">
      <c r="A43" s="2061"/>
      <c r="B43" s="2062"/>
      <c r="C43" s="2063"/>
      <c r="D43" s="2063"/>
      <c r="E43" s="2063"/>
      <c r="F43" s="2063"/>
      <c r="G43" s="2063"/>
      <c r="H43" s="2064" t="s">
        <v>162</v>
      </c>
      <c r="I43" s="2202">
        <f>SUM(I39:J42)</f>
        <v>27.5</v>
      </c>
      <c r="J43" s="2203"/>
      <c r="K43" s="152">
        <f>SUM(K39:K42)</f>
        <v>19.999999999999996</v>
      </c>
      <c r="L43" s="2181" t="str">
        <f>IF(I43=AD11,"ภาระงานตามพันธกิจ(เชิงปริมาณ)ครบ "&amp; AD11&amp;" ชม.ทำการ/สัปดาห์",IF(I43&gt;AD11,"ภาระงานตามพันธกิจ(เชิงปริมาณ)มากกว่า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ภาระงานตามพันธกิจ(เชิงปริมาณ)ครบ 27.5 ชม.ทำการ/สัปดาห์</v>
      </c>
      <c r="M43" s="2182"/>
      <c r="N43" s="2182"/>
      <c r="O43" s="2182"/>
      <c r="P43" s="2182"/>
      <c r="Q43" s="2183"/>
      <c r="R43" s="63"/>
      <c r="S43" s="227"/>
      <c r="T43" s="229" t="s">
        <v>163</v>
      </c>
      <c r="U43" s="229"/>
      <c r="V43" s="229"/>
      <c r="W43" s="229"/>
      <c r="X43" s="229"/>
      <c r="Y43" s="229"/>
      <c r="Z43" s="163"/>
      <c r="AA43" s="94"/>
      <c r="AB43" s="246"/>
      <c r="AC43" s="245"/>
    </row>
    <row r="44" spans="1:31" ht="22.5" x14ac:dyDescent="0.55000000000000004">
      <c r="A44" s="183" t="s">
        <v>164</v>
      </c>
      <c r="B44" s="2225" t="str">
        <f>"ภาระงานเชิงคุณภาพ (ร้อยละ "&amp;AF17&amp;")"</f>
        <v>ภาระงานเชิงคุณภาพ (ร้อยละ 20)</v>
      </c>
      <c r="C44" s="2225"/>
      <c r="D44" s="2225"/>
      <c r="E44" s="2225"/>
      <c r="F44" s="2225"/>
      <c r="G44" s="2225"/>
      <c r="H44" s="2225"/>
      <c r="I44" s="2226"/>
      <c r="J44" s="2226"/>
      <c r="K44" s="2226"/>
      <c r="L44" s="2226"/>
      <c r="M44" s="2226"/>
      <c r="N44" s="2226"/>
      <c r="O44" s="2226"/>
      <c r="P44" s="2226"/>
      <c r="Q44" s="2227"/>
      <c r="R44" s="63"/>
      <c r="S44" s="161"/>
      <c r="T44" s="162" t="s">
        <v>165</v>
      </c>
      <c r="U44" s="162"/>
      <c r="V44" s="162"/>
      <c r="W44" s="162"/>
      <c r="X44" s="162"/>
      <c r="Y44" s="162"/>
      <c r="Z44" s="163"/>
      <c r="AA44" s="94"/>
      <c r="AB44" s="94"/>
      <c r="AC44" s="63"/>
    </row>
    <row r="45" spans="1:31" ht="22.5" x14ac:dyDescent="0.55000000000000004">
      <c r="A45" s="2168" t="s">
        <v>139</v>
      </c>
      <c r="B45" s="2169"/>
      <c r="C45" s="2170"/>
      <c r="D45" s="2154" t="s">
        <v>140</v>
      </c>
      <c r="E45" s="2155"/>
      <c r="F45" s="2155"/>
      <c r="G45" s="2155"/>
      <c r="H45" s="2156"/>
      <c r="I45" s="2160" t="s">
        <v>141</v>
      </c>
      <c r="J45" s="2161"/>
      <c r="K45" s="2161" t="s">
        <v>166</v>
      </c>
      <c r="L45" s="2160" t="s">
        <v>143</v>
      </c>
      <c r="M45" s="2166"/>
      <c r="N45" s="2166"/>
      <c r="O45" s="2166"/>
      <c r="P45" s="2166"/>
      <c r="Q45" s="2161"/>
      <c r="R45" s="75"/>
      <c r="S45" s="230"/>
      <c r="T45" s="2196" t="str">
        <f>"    ของน้ำหนัก (ง) จะต้องเท่ากับร้อยละ "&amp;AF17</f>
        <v xml:space="preserve">    ของน้ำหนัก (ง) จะต้องเท่ากับร้อยละ 20</v>
      </c>
      <c r="U45" s="2196"/>
      <c r="V45" s="2196"/>
      <c r="W45" s="2196"/>
      <c r="X45" s="2196"/>
      <c r="Y45" s="2196"/>
      <c r="Z45" s="163"/>
      <c r="AA45" s="94"/>
      <c r="AB45" s="94"/>
      <c r="AC45" s="75"/>
    </row>
    <row r="46" spans="1:31" ht="22.5" x14ac:dyDescent="0.55000000000000004">
      <c r="A46" s="2171"/>
      <c r="B46" s="2172"/>
      <c r="C46" s="2173"/>
      <c r="D46" s="2157"/>
      <c r="E46" s="2158"/>
      <c r="F46" s="2158"/>
      <c r="G46" s="2158"/>
      <c r="H46" s="2159"/>
      <c r="I46" s="2162"/>
      <c r="J46" s="2163"/>
      <c r="K46" s="2163"/>
      <c r="L46" s="2162"/>
      <c r="M46" s="2167"/>
      <c r="N46" s="2167"/>
      <c r="O46" s="2167"/>
      <c r="P46" s="2167"/>
      <c r="Q46" s="2163"/>
      <c r="R46" s="75"/>
      <c r="S46" s="230"/>
      <c r="T46" s="231" t="s">
        <v>167</v>
      </c>
      <c r="U46" s="231"/>
      <c r="V46" s="231"/>
      <c r="W46" s="231"/>
      <c r="X46" s="231"/>
      <c r="Y46" s="231"/>
      <c r="Z46" s="232"/>
      <c r="AA46" s="98"/>
      <c r="AB46" s="98"/>
      <c r="AC46" s="75"/>
    </row>
    <row r="47" spans="1:31" ht="22.5" x14ac:dyDescent="0.55000000000000004">
      <c r="A47" s="2045" t="s">
        <v>168</v>
      </c>
      <c r="B47" s="2046" t="s">
        <v>151</v>
      </c>
      <c r="C47" s="2047" t="s">
        <v>169</v>
      </c>
      <c r="D47" s="2048"/>
      <c r="E47" s="2048"/>
      <c r="F47" s="2048"/>
      <c r="G47" s="2048"/>
      <c r="H47" s="2048"/>
      <c r="I47" s="2192">
        <f>SUM(AB22:AI22)</f>
        <v>7</v>
      </c>
      <c r="J47" s="2193"/>
      <c r="K47" s="2049">
        <v>10</v>
      </c>
      <c r="L47" s="2050"/>
      <c r="M47" s="2050"/>
      <c r="N47" s="2050"/>
      <c r="O47" s="2288"/>
      <c r="P47" s="2288"/>
      <c r="Q47" s="2185"/>
      <c r="R47" s="63"/>
      <c r="S47" s="161"/>
      <c r="T47" s="2188" t="s">
        <v>170</v>
      </c>
      <c r="U47" s="2188"/>
      <c r="V47" s="2188"/>
      <c r="W47" s="2188"/>
      <c r="X47" s="2188"/>
      <c r="Y47" s="2188"/>
      <c r="Z47" s="163"/>
      <c r="AA47" s="94"/>
      <c r="AB47" s="94"/>
      <c r="AC47" s="63"/>
    </row>
    <row r="48" spans="1:31" ht="62.25" customHeight="1" x14ac:dyDescent="0.55000000000000004">
      <c r="A48" s="2289" t="s">
        <v>171</v>
      </c>
      <c r="B48" s="2189" t="s">
        <v>172</v>
      </c>
      <c r="C48" s="2191"/>
      <c r="D48" s="2189" t="s">
        <v>173</v>
      </c>
      <c r="E48" s="2190"/>
      <c r="F48" s="2190"/>
      <c r="G48" s="2190"/>
      <c r="H48" s="2191"/>
      <c r="I48" s="2194"/>
      <c r="J48" s="2195"/>
      <c r="K48" s="2291">
        <v>1</v>
      </c>
      <c r="L48" s="2433" t="s">
        <v>174</v>
      </c>
      <c r="M48" s="2434"/>
      <c r="N48" s="2434"/>
      <c r="O48" s="2434"/>
      <c r="P48" s="2434"/>
      <c r="Q48" s="2435"/>
      <c r="R48" s="63"/>
      <c r="S48" s="161"/>
      <c r="T48" s="2151" t="s">
        <v>379</v>
      </c>
      <c r="U48" s="2151"/>
      <c r="V48" s="2151"/>
      <c r="W48" s="2151"/>
      <c r="X48" s="2151"/>
      <c r="Y48" s="2151"/>
      <c r="Z48" s="163"/>
      <c r="AA48" s="94"/>
      <c r="AB48" s="2423"/>
      <c r="AC48" s="273"/>
      <c r="AD48" s="2418"/>
      <c r="AE48" s="93"/>
    </row>
    <row r="49" spans="1:31" ht="60.75" customHeight="1" x14ac:dyDescent="0.55000000000000004">
      <c r="A49" s="2290"/>
      <c r="B49" s="2293" t="s">
        <v>175</v>
      </c>
      <c r="C49" s="2187"/>
      <c r="D49" s="2189" t="s">
        <v>176</v>
      </c>
      <c r="E49" s="2190"/>
      <c r="F49" s="2190"/>
      <c r="G49" s="2190"/>
      <c r="H49" s="2191"/>
      <c r="I49" s="2194"/>
      <c r="J49" s="2195"/>
      <c r="K49" s="2292"/>
      <c r="L49" s="185"/>
      <c r="M49" s="186"/>
      <c r="N49" s="186"/>
      <c r="O49" s="186"/>
      <c r="P49" s="186"/>
      <c r="Q49" s="187"/>
      <c r="R49" s="63"/>
      <c r="S49" s="233"/>
      <c r="T49" s="2152" t="s">
        <v>380</v>
      </c>
      <c r="U49" s="2152"/>
      <c r="V49" s="2152"/>
      <c r="W49" s="2152"/>
      <c r="X49" s="2152"/>
      <c r="Y49" s="2152"/>
      <c r="Z49" s="166"/>
      <c r="AA49" s="94"/>
      <c r="AB49" s="2423"/>
      <c r="AC49" s="274"/>
      <c r="AD49" s="2418"/>
      <c r="AE49" s="96"/>
    </row>
    <row r="50" spans="1:31" ht="81" customHeight="1" x14ac:dyDescent="0.45">
      <c r="A50" s="2289" t="s">
        <v>177</v>
      </c>
      <c r="B50" s="2189" t="s">
        <v>178</v>
      </c>
      <c r="C50" s="2191"/>
      <c r="D50" s="2270" t="s">
        <v>179</v>
      </c>
      <c r="E50" s="2287"/>
      <c r="F50" s="2287"/>
      <c r="G50" s="2287"/>
      <c r="H50" s="2271"/>
      <c r="I50" s="2194"/>
      <c r="J50" s="2195"/>
      <c r="K50" s="2291">
        <v>3</v>
      </c>
      <c r="L50" s="2433" t="s">
        <v>174</v>
      </c>
      <c r="M50" s="2434"/>
      <c r="N50" s="2434"/>
      <c r="O50" s="2434"/>
      <c r="P50" s="2434"/>
      <c r="Q50" s="2435"/>
      <c r="R50" s="75"/>
      <c r="S50" s="234"/>
      <c r="T50" s="234"/>
      <c r="U50" s="234"/>
      <c r="V50" s="234"/>
      <c r="W50" s="234"/>
      <c r="X50" s="234"/>
      <c r="Y50" s="234"/>
      <c r="Z50" s="234"/>
      <c r="AA50" s="101"/>
      <c r="AB50" s="2423"/>
      <c r="AC50" s="273"/>
      <c r="AD50" s="2418"/>
      <c r="AE50" s="93"/>
    </row>
    <row r="51" spans="1:31" ht="22.5" x14ac:dyDescent="0.55000000000000004">
      <c r="A51" s="2290"/>
      <c r="B51" s="2294" t="s">
        <v>180</v>
      </c>
      <c r="C51" s="2295"/>
      <c r="D51" s="188"/>
      <c r="E51" s="189"/>
      <c r="F51" s="189"/>
      <c r="G51" s="189"/>
      <c r="H51" s="190"/>
      <c r="I51" s="2296"/>
      <c r="J51" s="2297"/>
      <c r="K51" s="2292"/>
      <c r="L51" s="185"/>
      <c r="M51" s="186"/>
      <c r="N51" s="186"/>
      <c r="O51" s="186"/>
      <c r="P51" s="186"/>
      <c r="Q51" s="187"/>
      <c r="R51" s="75"/>
      <c r="S51" s="2439" t="s">
        <v>181</v>
      </c>
      <c r="T51" s="2440"/>
      <c r="U51" s="2440"/>
      <c r="V51" s="2440"/>
      <c r="W51" s="2440"/>
      <c r="X51" s="2440"/>
      <c r="Y51" s="2440"/>
      <c r="Z51" s="2441"/>
      <c r="AA51" s="101"/>
      <c r="AB51" s="2423"/>
      <c r="AC51" s="273"/>
      <c r="AD51" s="2418"/>
      <c r="AE51" s="93"/>
    </row>
    <row r="52" spans="1:31" ht="60" customHeight="1" x14ac:dyDescent="0.55000000000000004">
      <c r="A52" s="2289" t="s">
        <v>182</v>
      </c>
      <c r="B52" s="2189" t="s">
        <v>381</v>
      </c>
      <c r="C52" s="2191"/>
      <c r="D52" s="2189" t="s">
        <v>173</v>
      </c>
      <c r="E52" s="2190"/>
      <c r="F52" s="2190"/>
      <c r="G52" s="2190"/>
      <c r="H52" s="2191"/>
      <c r="I52" s="2194"/>
      <c r="J52" s="2195"/>
      <c r="K52" s="2291">
        <v>1</v>
      </c>
      <c r="L52" s="2433" t="s">
        <v>174</v>
      </c>
      <c r="M52" s="2434"/>
      <c r="N52" s="2434"/>
      <c r="O52" s="2434"/>
      <c r="P52" s="2434"/>
      <c r="Q52" s="2435"/>
      <c r="R52" s="63"/>
      <c r="S52" s="161"/>
      <c r="T52" s="2424"/>
      <c r="U52" s="2424"/>
      <c r="V52" s="2424"/>
      <c r="W52" s="2424"/>
      <c r="X52" s="2424"/>
      <c r="Y52" s="2424"/>
      <c r="Z52" s="235"/>
      <c r="AA52" s="74"/>
      <c r="AB52" s="2423"/>
      <c r="AC52" s="273"/>
      <c r="AD52" s="2418"/>
      <c r="AE52" s="93"/>
    </row>
    <row r="53" spans="1:31" ht="80.25" customHeight="1" x14ac:dyDescent="0.55000000000000004">
      <c r="A53" s="2290"/>
      <c r="B53" s="2189" t="s">
        <v>183</v>
      </c>
      <c r="C53" s="2191"/>
      <c r="D53" s="2189" t="s">
        <v>184</v>
      </c>
      <c r="E53" s="2190"/>
      <c r="F53" s="2190"/>
      <c r="G53" s="2190"/>
      <c r="H53" s="2191"/>
      <c r="I53" s="2194"/>
      <c r="J53" s="2195"/>
      <c r="K53" s="2292"/>
      <c r="L53" s="191"/>
      <c r="M53" s="192"/>
      <c r="N53" s="192"/>
      <c r="O53" s="192"/>
      <c r="P53" s="192"/>
      <c r="Q53" s="193"/>
      <c r="R53" s="63"/>
      <c r="S53" s="161"/>
      <c r="T53" s="2438" t="s">
        <v>185</v>
      </c>
      <c r="U53" s="2438"/>
      <c r="V53" s="2438"/>
      <c r="W53" s="2438"/>
      <c r="X53" s="2438"/>
      <c r="Y53" s="2438"/>
      <c r="Z53" s="163"/>
      <c r="AA53" s="74"/>
      <c r="AB53" s="2423"/>
      <c r="AC53" s="273"/>
      <c r="AD53" s="2418"/>
      <c r="AE53" s="93"/>
    </row>
    <row r="54" spans="1:31" ht="22.5" x14ac:dyDescent="0.55000000000000004">
      <c r="A54" s="2153" t="s">
        <v>139</v>
      </c>
      <c r="B54" s="2153"/>
      <c r="C54" s="2153"/>
      <c r="D54" s="2154" t="s">
        <v>140</v>
      </c>
      <c r="E54" s="2155"/>
      <c r="F54" s="2155"/>
      <c r="G54" s="2155"/>
      <c r="H54" s="2156"/>
      <c r="I54" s="2160" t="s">
        <v>141</v>
      </c>
      <c r="J54" s="2161"/>
      <c r="K54" s="2164" t="s">
        <v>166</v>
      </c>
      <c r="L54" s="2160" t="s">
        <v>143</v>
      </c>
      <c r="M54" s="2166"/>
      <c r="N54" s="2166"/>
      <c r="O54" s="2166"/>
      <c r="P54" s="2166"/>
      <c r="Q54" s="2161"/>
      <c r="R54" s="63"/>
      <c r="S54" s="161"/>
      <c r="T54" s="240"/>
      <c r="U54" s="240"/>
      <c r="V54" s="240"/>
      <c r="W54" s="240"/>
      <c r="X54" s="240"/>
      <c r="Y54" s="240"/>
      <c r="Z54" s="163"/>
      <c r="AA54" s="74"/>
      <c r="AB54" s="274"/>
      <c r="AC54" s="273"/>
      <c r="AD54" s="273"/>
      <c r="AE54" s="93"/>
    </row>
    <row r="55" spans="1:31" ht="22.5" x14ac:dyDescent="0.55000000000000004">
      <c r="A55" s="2153"/>
      <c r="B55" s="2153"/>
      <c r="C55" s="2153"/>
      <c r="D55" s="2157"/>
      <c r="E55" s="2158"/>
      <c r="F55" s="2158"/>
      <c r="G55" s="2158"/>
      <c r="H55" s="2159"/>
      <c r="I55" s="2162"/>
      <c r="J55" s="2163"/>
      <c r="K55" s="2165"/>
      <c r="L55" s="2162"/>
      <c r="M55" s="2167"/>
      <c r="N55" s="2167"/>
      <c r="O55" s="2167"/>
      <c r="P55" s="2167"/>
      <c r="Q55" s="2163"/>
      <c r="R55" s="63"/>
      <c r="S55" s="236"/>
      <c r="T55" s="284"/>
      <c r="U55" s="284"/>
      <c r="V55" s="284"/>
      <c r="W55" s="284"/>
      <c r="X55" s="284"/>
      <c r="Y55" s="284"/>
      <c r="Z55" s="237"/>
      <c r="AA55" s="74"/>
      <c r="AB55" s="274"/>
      <c r="AC55" s="273"/>
      <c r="AD55" s="273"/>
      <c r="AE55" s="93"/>
    </row>
    <row r="56" spans="1:31" ht="140.25" customHeight="1" x14ac:dyDescent="0.55000000000000004">
      <c r="A56" s="241" t="s">
        <v>186</v>
      </c>
      <c r="B56" s="2425" t="s">
        <v>383</v>
      </c>
      <c r="C56" s="2426"/>
      <c r="D56" s="2425" t="s">
        <v>187</v>
      </c>
      <c r="E56" s="2427"/>
      <c r="F56" s="2427"/>
      <c r="G56" s="2427"/>
      <c r="H56" s="2426"/>
      <c r="I56" s="2194"/>
      <c r="J56" s="2195"/>
      <c r="K56" s="95">
        <v>3</v>
      </c>
      <c r="L56" s="2442" t="s">
        <v>174</v>
      </c>
      <c r="M56" s="2443"/>
      <c r="N56" s="2443"/>
      <c r="O56" s="2443"/>
      <c r="P56" s="2443"/>
      <c r="Q56" s="2444"/>
      <c r="R56" s="2022"/>
      <c r="S56" s="161"/>
      <c r="T56" s="240" t="s">
        <v>188</v>
      </c>
      <c r="U56" s="240"/>
      <c r="V56" s="240"/>
      <c r="W56" s="240"/>
      <c r="X56" s="240"/>
      <c r="Y56" s="240"/>
      <c r="Z56" s="163"/>
      <c r="AA56" s="74"/>
      <c r="AB56" s="274"/>
      <c r="AC56" s="273"/>
      <c r="AD56" s="273"/>
      <c r="AE56" s="93"/>
    </row>
    <row r="57" spans="1:31" ht="93.75" customHeight="1" x14ac:dyDescent="0.55000000000000004">
      <c r="A57" s="195" t="s">
        <v>189</v>
      </c>
      <c r="B57" s="2189" t="s">
        <v>501</v>
      </c>
      <c r="C57" s="2191"/>
      <c r="D57" s="2428" t="s">
        <v>190</v>
      </c>
      <c r="E57" s="2429"/>
      <c r="F57" s="2429"/>
      <c r="G57" s="2429"/>
      <c r="H57" s="2430"/>
      <c r="I57" s="2194"/>
      <c r="J57" s="2195"/>
      <c r="K57" s="99">
        <v>2</v>
      </c>
      <c r="L57" s="2420" t="s">
        <v>174</v>
      </c>
      <c r="M57" s="2421"/>
      <c r="N57" s="2421"/>
      <c r="O57" s="2421"/>
      <c r="P57" s="2421"/>
      <c r="Q57" s="2422"/>
      <c r="R57" s="64"/>
      <c r="S57" s="242"/>
      <c r="T57" s="2419"/>
      <c r="U57" s="2419"/>
      <c r="V57" s="2419"/>
      <c r="W57" s="2419"/>
      <c r="X57" s="2419"/>
      <c r="Y57" s="2419"/>
      <c r="Z57" s="242"/>
      <c r="AA57" s="74"/>
      <c r="AB57" s="274"/>
      <c r="AC57" s="273"/>
      <c r="AD57" s="273"/>
      <c r="AE57" s="93"/>
    </row>
    <row r="58" spans="1:31" ht="22.5" x14ac:dyDescent="0.55000000000000004">
      <c r="A58" s="2045" t="s">
        <v>191</v>
      </c>
      <c r="B58" s="2054" t="s">
        <v>155</v>
      </c>
      <c r="C58" s="2055"/>
      <c r="D58" s="2056"/>
      <c r="E58" s="2056"/>
      <c r="F58" s="2056"/>
      <c r="G58" s="2056"/>
      <c r="H58" s="2056"/>
      <c r="I58" s="2192">
        <f>SUM(AJ22:AO22)</f>
        <v>10</v>
      </c>
      <c r="J58" s="2193"/>
      <c r="K58" s="2057">
        <v>10</v>
      </c>
      <c r="L58" s="2058"/>
      <c r="M58" s="2050"/>
      <c r="N58" s="2050"/>
      <c r="O58" s="2050"/>
      <c r="P58" s="2288"/>
      <c r="Q58" s="2185"/>
      <c r="R58" s="63"/>
      <c r="S58" s="128"/>
      <c r="T58" s="128"/>
      <c r="U58" s="128"/>
      <c r="V58" s="128"/>
      <c r="W58" s="128"/>
      <c r="X58" s="128"/>
      <c r="Y58" s="128"/>
      <c r="Z58" s="128"/>
      <c r="AA58" s="74"/>
      <c r="AB58" s="94"/>
      <c r="AC58" s="273"/>
      <c r="AD58" s="273"/>
      <c r="AE58" s="93"/>
    </row>
    <row r="59" spans="1:31" ht="22.5" x14ac:dyDescent="0.55000000000000004">
      <c r="A59" s="194" t="s">
        <v>171</v>
      </c>
      <c r="B59" s="2285" t="s">
        <v>192</v>
      </c>
      <c r="C59" s="2286"/>
      <c r="D59" s="2189" t="s">
        <v>193</v>
      </c>
      <c r="E59" s="2190"/>
      <c r="F59" s="2190"/>
      <c r="G59" s="2190"/>
      <c r="H59" s="2191"/>
      <c r="I59" s="2283"/>
      <c r="J59" s="2284"/>
      <c r="K59" s="95">
        <v>5</v>
      </c>
      <c r="L59" s="2420" t="s">
        <v>174</v>
      </c>
      <c r="M59" s="2421"/>
      <c r="N59" s="2421"/>
      <c r="O59" s="2421"/>
      <c r="P59" s="2421"/>
      <c r="Q59" s="2422"/>
      <c r="R59" s="63"/>
      <c r="S59" s="128"/>
      <c r="T59" s="128"/>
      <c r="U59" s="128"/>
      <c r="V59" s="128"/>
      <c r="W59" s="128"/>
      <c r="X59" s="128"/>
      <c r="Y59" s="128"/>
      <c r="Z59" s="128"/>
      <c r="AA59" s="74"/>
      <c r="AB59" s="274"/>
      <c r="AC59" s="273"/>
      <c r="AD59" s="273"/>
      <c r="AE59" s="93"/>
    </row>
    <row r="60" spans="1:31" ht="17.25" customHeight="1" x14ac:dyDescent="0.55000000000000004">
      <c r="A60" s="196" t="s">
        <v>177</v>
      </c>
      <c r="B60" s="2270" t="s">
        <v>194</v>
      </c>
      <c r="C60" s="2271"/>
      <c r="D60" s="2270" t="s">
        <v>384</v>
      </c>
      <c r="E60" s="2287"/>
      <c r="F60" s="2287"/>
      <c r="G60" s="2287"/>
      <c r="H60" s="2271"/>
      <c r="I60" s="2266" t="s">
        <v>195</v>
      </c>
      <c r="J60" s="2267"/>
      <c r="K60" s="2291">
        <v>5</v>
      </c>
      <c r="L60" s="2433" t="s">
        <v>174</v>
      </c>
      <c r="M60" s="2434"/>
      <c r="N60" s="2434"/>
      <c r="O60" s="2434"/>
      <c r="P60" s="2434"/>
      <c r="Q60" s="2435"/>
      <c r="R60" s="63"/>
      <c r="S60" s="128"/>
      <c r="T60" s="128"/>
      <c r="U60" s="128"/>
      <c r="V60" s="128"/>
      <c r="W60" s="128"/>
      <c r="X60" s="128"/>
      <c r="Y60" s="128"/>
      <c r="Z60" s="128"/>
      <c r="AA60" s="74"/>
      <c r="AB60" s="274"/>
      <c r="AC60" s="273"/>
      <c r="AD60" s="273"/>
      <c r="AE60" s="93"/>
    </row>
    <row r="61" spans="1:31" ht="22.5" x14ac:dyDescent="0.55000000000000004">
      <c r="A61" s="197"/>
      <c r="B61" s="243"/>
      <c r="C61" s="244"/>
      <c r="D61" s="2272" t="s">
        <v>196</v>
      </c>
      <c r="E61" s="2273"/>
      <c r="F61" s="2273"/>
      <c r="G61" s="2273"/>
      <c r="H61" s="2274"/>
      <c r="I61" s="2268">
        <f>AK22</f>
        <v>5</v>
      </c>
      <c r="J61" s="2269"/>
      <c r="K61" s="2292"/>
      <c r="L61" s="289"/>
      <c r="M61" s="200"/>
      <c r="N61" s="200"/>
      <c r="O61" s="200"/>
      <c r="P61" s="200"/>
      <c r="Q61" s="201"/>
      <c r="R61" s="63"/>
      <c r="S61" s="128"/>
      <c r="T61" s="128"/>
      <c r="U61" s="128"/>
      <c r="V61" s="128"/>
      <c r="W61" s="128"/>
      <c r="X61" s="128"/>
      <c r="Y61" s="128"/>
      <c r="Z61" s="128"/>
      <c r="AA61" s="74"/>
      <c r="AB61" s="274"/>
      <c r="AC61" s="273"/>
      <c r="AD61" s="273"/>
      <c r="AE61" s="173"/>
    </row>
    <row r="62" spans="1:31" ht="22.5" x14ac:dyDescent="0.55000000000000004">
      <c r="A62" s="197"/>
      <c r="B62" s="243"/>
      <c r="C62" s="244"/>
      <c r="D62" s="2452" t="s">
        <v>197</v>
      </c>
      <c r="E62" s="2453"/>
      <c r="F62" s="2453"/>
      <c r="G62" s="2453"/>
      <c r="H62" s="2454"/>
      <c r="I62" s="2447"/>
      <c r="J62" s="2448"/>
      <c r="K62" s="221">
        <v>1</v>
      </c>
      <c r="L62" s="289"/>
      <c r="M62" s="200"/>
      <c r="N62" s="200"/>
      <c r="O62" s="200"/>
      <c r="P62" s="200"/>
      <c r="Q62" s="201"/>
      <c r="R62" s="63"/>
      <c r="S62" s="128"/>
      <c r="T62" s="128"/>
      <c r="U62" s="128"/>
      <c r="V62" s="128"/>
      <c r="W62" s="128"/>
      <c r="X62" s="128"/>
      <c r="Y62" s="128"/>
      <c r="Z62" s="128"/>
      <c r="AA62" s="74"/>
      <c r="AB62" s="274"/>
      <c r="AC62" s="273"/>
      <c r="AD62" s="2418"/>
      <c r="AE62" s="173"/>
    </row>
    <row r="63" spans="1:31" ht="22.5" x14ac:dyDescent="0.55000000000000004">
      <c r="A63" s="197"/>
      <c r="B63" s="198"/>
      <c r="C63" s="199"/>
      <c r="D63" s="2452" t="s">
        <v>198</v>
      </c>
      <c r="E63" s="2453"/>
      <c r="F63" s="2453"/>
      <c r="G63" s="2453"/>
      <c r="H63" s="2454"/>
      <c r="I63" s="2280"/>
      <c r="J63" s="2281"/>
      <c r="K63" s="221">
        <v>2</v>
      </c>
      <c r="L63" s="289"/>
      <c r="M63" s="200"/>
      <c r="N63" s="200"/>
      <c r="O63" s="200"/>
      <c r="P63" s="200"/>
      <c r="Q63" s="201"/>
      <c r="R63" s="63"/>
      <c r="S63" s="128"/>
      <c r="T63" s="128"/>
      <c r="U63" s="128"/>
      <c r="V63" s="128"/>
      <c r="W63" s="128"/>
      <c r="X63" s="128"/>
      <c r="Y63" s="128"/>
      <c r="Z63" s="128"/>
      <c r="AA63" s="74"/>
      <c r="AB63" s="274"/>
      <c r="AC63" s="273"/>
      <c r="AD63" s="2418"/>
      <c r="AE63" s="173"/>
    </row>
    <row r="64" spans="1:31" ht="22.5" x14ac:dyDescent="0.55000000000000004">
      <c r="A64" s="197"/>
      <c r="B64" s="198"/>
      <c r="C64" s="199"/>
      <c r="D64" s="2452" t="s">
        <v>199</v>
      </c>
      <c r="E64" s="2453"/>
      <c r="F64" s="2453"/>
      <c r="G64" s="2453"/>
      <c r="H64" s="2454"/>
      <c r="I64" s="2280">
        <v>2</v>
      </c>
      <c r="J64" s="2281"/>
      <c r="K64" s="221">
        <v>3</v>
      </c>
      <c r="L64" s="289"/>
      <c r="M64" s="200"/>
      <c r="N64" s="200"/>
      <c r="O64" s="200"/>
      <c r="P64" s="200"/>
      <c r="Q64" s="201"/>
      <c r="R64" s="63"/>
      <c r="S64" s="128"/>
      <c r="T64" s="128"/>
      <c r="U64" s="128"/>
      <c r="V64" s="128"/>
      <c r="W64" s="128"/>
      <c r="X64" s="128"/>
      <c r="Y64" s="128"/>
      <c r="Z64" s="128"/>
      <c r="AA64" s="74"/>
      <c r="AB64" s="274"/>
      <c r="AC64" s="273"/>
      <c r="AD64" s="2418"/>
      <c r="AE64" s="173"/>
    </row>
    <row r="65" spans="1:31" ht="22.5" x14ac:dyDescent="0.55000000000000004">
      <c r="A65" s="197"/>
      <c r="B65" s="198"/>
      <c r="C65" s="199"/>
      <c r="D65" s="2452" t="s">
        <v>200</v>
      </c>
      <c r="E65" s="2453"/>
      <c r="F65" s="2453"/>
      <c r="G65" s="2453"/>
      <c r="H65" s="2454"/>
      <c r="I65" s="2280"/>
      <c r="J65" s="2281"/>
      <c r="K65" s="221">
        <v>4</v>
      </c>
      <c r="L65" s="289"/>
      <c r="M65" s="200"/>
      <c r="N65" s="200"/>
      <c r="O65" s="200"/>
      <c r="P65" s="200"/>
      <c r="Q65" s="201"/>
      <c r="R65" s="63"/>
      <c r="S65" s="128"/>
      <c r="T65" s="128"/>
      <c r="U65" s="128"/>
      <c r="V65" s="128"/>
      <c r="W65" s="128"/>
      <c r="X65" s="128"/>
      <c r="Y65" s="128"/>
      <c r="Z65" s="128"/>
      <c r="AA65" s="74"/>
      <c r="AB65" s="274"/>
      <c r="AC65" s="273"/>
      <c r="AD65" s="2418"/>
      <c r="AE65" s="173"/>
    </row>
    <row r="66" spans="1:31" ht="22.5" x14ac:dyDescent="0.55000000000000004">
      <c r="A66" s="195"/>
      <c r="B66" s="188"/>
      <c r="C66" s="190"/>
      <c r="D66" s="2275" t="s">
        <v>201</v>
      </c>
      <c r="E66" s="2276"/>
      <c r="F66" s="2276"/>
      <c r="G66" s="2276"/>
      <c r="H66" s="2277"/>
      <c r="I66" s="2278"/>
      <c r="J66" s="2279"/>
      <c r="K66" s="222">
        <v>5</v>
      </c>
      <c r="L66" s="191"/>
      <c r="M66" s="192"/>
      <c r="N66" s="192"/>
      <c r="O66" s="192"/>
      <c r="P66" s="192"/>
      <c r="Q66" s="193"/>
      <c r="R66" s="63"/>
      <c r="S66" s="128"/>
      <c r="T66" s="128"/>
      <c r="U66" s="128"/>
      <c r="V66" s="128"/>
      <c r="W66" s="128"/>
      <c r="X66" s="128"/>
      <c r="Y66" s="128"/>
      <c r="Z66" s="128"/>
      <c r="AA66" s="74"/>
      <c r="AB66" s="274"/>
      <c r="AC66" s="273"/>
      <c r="AD66" s="2418"/>
      <c r="AE66" s="173"/>
    </row>
    <row r="67" spans="1:31" ht="22.5" x14ac:dyDescent="0.55000000000000004">
      <c r="A67" s="2153" t="s">
        <v>139</v>
      </c>
      <c r="B67" s="2153"/>
      <c r="C67" s="2153"/>
      <c r="D67" s="2154" t="s">
        <v>140</v>
      </c>
      <c r="E67" s="2155"/>
      <c r="F67" s="2155"/>
      <c r="G67" s="2155"/>
      <c r="H67" s="2156"/>
      <c r="I67" s="2160" t="s">
        <v>141</v>
      </c>
      <c r="J67" s="2161"/>
      <c r="K67" s="2164" t="s">
        <v>166</v>
      </c>
      <c r="L67" s="2160" t="s">
        <v>143</v>
      </c>
      <c r="M67" s="2166"/>
      <c r="N67" s="2166"/>
      <c r="O67" s="2166"/>
      <c r="P67" s="2166"/>
      <c r="Q67" s="2161"/>
      <c r="R67" s="64"/>
      <c r="S67" s="130"/>
      <c r="T67" s="283"/>
      <c r="U67" s="283"/>
      <c r="V67" s="283"/>
      <c r="W67" s="283"/>
      <c r="X67" s="283"/>
      <c r="Y67" s="283"/>
      <c r="Z67" s="130"/>
      <c r="AA67" s="74"/>
      <c r="AB67" s="274"/>
      <c r="AC67" s="273"/>
      <c r="AD67" s="273"/>
      <c r="AE67" s="93"/>
    </row>
    <row r="68" spans="1:31" ht="22.5" x14ac:dyDescent="0.55000000000000004">
      <c r="A68" s="2153"/>
      <c r="B68" s="2153"/>
      <c r="C68" s="2153"/>
      <c r="D68" s="2157"/>
      <c r="E68" s="2158"/>
      <c r="F68" s="2158"/>
      <c r="G68" s="2158"/>
      <c r="H68" s="2159"/>
      <c r="I68" s="2162"/>
      <c r="J68" s="2163"/>
      <c r="K68" s="2165"/>
      <c r="L68" s="2162"/>
      <c r="M68" s="2167"/>
      <c r="N68" s="2167"/>
      <c r="O68" s="2167"/>
      <c r="P68" s="2167"/>
      <c r="Q68" s="2163"/>
      <c r="R68" s="64"/>
      <c r="S68" s="287"/>
      <c r="T68" s="288"/>
      <c r="U68" s="288"/>
      <c r="V68" s="288"/>
      <c r="W68" s="288"/>
      <c r="X68" s="288"/>
      <c r="Y68" s="288"/>
      <c r="Z68" s="287"/>
      <c r="AA68" s="74"/>
      <c r="AB68" s="274"/>
      <c r="AC68" s="273"/>
      <c r="AD68" s="273"/>
      <c r="AE68" s="93"/>
    </row>
    <row r="69" spans="1:31" ht="22.5" x14ac:dyDescent="0.55000000000000004">
      <c r="A69" s="2045" t="s">
        <v>202</v>
      </c>
      <c r="B69" s="2054" t="s">
        <v>203</v>
      </c>
      <c r="C69" s="2055"/>
      <c r="D69" s="2056"/>
      <c r="E69" s="2056"/>
      <c r="F69" s="2056"/>
      <c r="G69" s="2056"/>
      <c r="H69" s="2056"/>
      <c r="I69" s="2184">
        <f>SUM(AP22:AR22)</f>
        <v>5</v>
      </c>
      <c r="J69" s="2185"/>
      <c r="K69" s="2057">
        <v>5</v>
      </c>
      <c r="L69" s="2054"/>
      <c r="M69" s="2054"/>
      <c r="N69" s="2054"/>
      <c r="O69" s="2054"/>
      <c r="P69" s="2445"/>
      <c r="Q69" s="2193"/>
      <c r="R69" s="75"/>
      <c r="S69" s="238"/>
      <c r="T69" s="238"/>
      <c r="U69" s="238"/>
      <c r="V69" s="238"/>
      <c r="W69" s="238"/>
      <c r="X69" s="238"/>
      <c r="Y69" s="238"/>
      <c r="Z69" s="238"/>
      <c r="AA69" s="101"/>
      <c r="AB69" s="98"/>
      <c r="AC69" s="100"/>
      <c r="AD69" s="100"/>
      <c r="AE69" s="173"/>
    </row>
    <row r="70" spans="1:31" ht="79.5" customHeight="1" x14ac:dyDescent="0.45">
      <c r="A70" s="194" t="s">
        <v>171</v>
      </c>
      <c r="B70" s="2190" t="s">
        <v>204</v>
      </c>
      <c r="C70" s="2191"/>
      <c r="D70" s="2293" t="s">
        <v>205</v>
      </c>
      <c r="E70" s="2186"/>
      <c r="F70" s="2186"/>
      <c r="G70" s="2186"/>
      <c r="H70" s="2187"/>
      <c r="I70" s="2194"/>
      <c r="J70" s="2195"/>
      <c r="K70" s="95">
        <v>2.5</v>
      </c>
      <c r="L70" s="2420" t="s">
        <v>174</v>
      </c>
      <c r="M70" s="2421"/>
      <c r="N70" s="2421"/>
      <c r="O70" s="2421"/>
      <c r="P70" s="2421"/>
      <c r="Q70" s="2422"/>
      <c r="R70" s="75"/>
      <c r="S70" s="238"/>
      <c r="T70" s="238"/>
      <c r="U70" s="238"/>
      <c r="V70" s="238"/>
      <c r="W70" s="238"/>
      <c r="X70" s="238"/>
      <c r="Y70" s="238"/>
      <c r="Z70" s="238"/>
      <c r="AA70" s="101"/>
      <c r="AB70" s="274"/>
      <c r="AC70" s="273"/>
      <c r="AD70" s="273"/>
      <c r="AE70" s="93"/>
    </row>
    <row r="71" spans="1:31" ht="58.5" customHeight="1" x14ac:dyDescent="0.55000000000000004">
      <c r="A71" s="2289" t="s">
        <v>177</v>
      </c>
      <c r="B71" s="2189" t="s">
        <v>206</v>
      </c>
      <c r="C71" s="2191"/>
      <c r="D71" s="2189" t="s">
        <v>207</v>
      </c>
      <c r="E71" s="2190"/>
      <c r="F71" s="2190"/>
      <c r="G71" s="2190"/>
      <c r="H71" s="2191"/>
      <c r="I71" s="2194"/>
      <c r="J71" s="2195"/>
      <c r="K71" s="2291">
        <v>2.5</v>
      </c>
      <c r="L71" s="2433" t="s">
        <v>174</v>
      </c>
      <c r="M71" s="2434"/>
      <c r="N71" s="2434"/>
      <c r="O71" s="2434"/>
      <c r="P71" s="2434"/>
      <c r="Q71" s="2435"/>
      <c r="R71" s="63"/>
      <c r="S71" s="128"/>
      <c r="T71" s="128"/>
      <c r="U71" s="128"/>
      <c r="V71" s="128"/>
      <c r="W71" s="128"/>
      <c r="X71" s="128"/>
      <c r="Y71" s="128"/>
      <c r="Z71" s="128"/>
      <c r="AA71" s="74"/>
      <c r="AB71" s="2423"/>
      <c r="AC71" s="273"/>
      <c r="AD71" s="2418"/>
      <c r="AE71" s="93"/>
    </row>
    <row r="72" spans="1:31" ht="60.75" customHeight="1" x14ac:dyDescent="0.55000000000000004">
      <c r="A72" s="2290"/>
      <c r="B72" s="2186" t="s">
        <v>208</v>
      </c>
      <c r="C72" s="2187"/>
      <c r="D72" s="2293" t="s">
        <v>205</v>
      </c>
      <c r="E72" s="2186"/>
      <c r="F72" s="2186"/>
      <c r="G72" s="2186"/>
      <c r="H72" s="2187"/>
      <c r="I72" s="2251"/>
      <c r="J72" s="2252"/>
      <c r="K72" s="2292"/>
      <c r="L72" s="185"/>
      <c r="M72" s="186"/>
      <c r="N72" s="186"/>
      <c r="O72" s="186"/>
      <c r="P72" s="186"/>
      <c r="Q72" s="187"/>
      <c r="R72" s="63"/>
      <c r="S72" s="128"/>
      <c r="T72" s="128"/>
      <c r="U72" s="128"/>
      <c r="V72" s="128"/>
      <c r="W72" s="128"/>
      <c r="X72" s="128"/>
      <c r="Y72" s="128"/>
      <c r="Z72" s="128"/>
      <c r="AA72" s="74"/>
      <c r="AB72" s="2423"/>
      <c r="AC72" s="273"/>
      <c r="AD72" s="2418"/>
      <c r="AE72" s="93"/>
    </row>
    <row r="73" spans="1:31" ht="22.5" x14ac:dyDescent="0.55000000000000004">
      <c r="A73" s="2072"/>
      <c r="B73" s="2073"/>
      <c r="C73" s="2073"/>
      <c r="D73" s="2073"/>
      <c r="E73" s="2073"/>
      <c r="F73" s="2073"/>
      <c r="G73" s="2073"/>
      <c r="H73" s="2074" t="s">
        <v>209</v>
      </c>
      <c r="I73" s="2253">
        <f>I47+I58+I69</f>
        <v>22</v>
      </c>
      <c r="J73" s="2253"/>
      <c r="K73" s="2076">
        <f>K47+K58+K69</f>
        <v>25</v>
      </c>
      <c r="L73" s="2260" t="str">
        <f>IF(C13="ไม่มี","","กรณีที่ดำรงตำแหน่งบริหาร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</v>
      </c>
      <c r="M73" s="2261"/>
      <c r="N73" s="2261"/>
      <c r="O73" s="2261"/>
      <c r="P73" s="2261"/>
      <c r="Q73" s="2262"/>
      <c r="R73" s="63"/>
      <c r="S73" s="128"/>
      <c r="T73" s="128"/>
      <c r="U73" s="128"/>
      <c r="V73" s="128"/>
      <c r="W73" s="128"/>
      <c r="X73" s="128"/>
      <c r="Y73" s="128"/>
      <c r="Z73" s="128"/>
      <c r="AA73" s="74"/>
      <c r="AB73" s="94"/>
      <c r="AC73" s="64"/>
      <c r="AD73" s="173"/>
      <c r="AE73" s="93"/>
    </row>
    <row r="74" spans="1:31" ht="22.5" x14ac:dyDescent="0.55000000000000004">
      <c r="A74" s="2072"/>
      <c r="B74" s="2073"/>
      <c r="C74" s="2073"/>
      <c r="D74" s="2073"/>
      <c r="E74" s="2073"/>
      <c r="F74" s="2073"/>
      <c r="G74" s="2073"/>
      <c r="H74" s="2074" t="str">
        <f>IF(C13="ไม่มี","","คิดน้ำหนักภาระงานตามพันธกิจ เชิงคุณภาพ ตามตำแหน่งบริหาร (ร้อยละ)")</f>
        <v>คิดน้ำหนักภาระงานตามพันธกิจ เชิงคุณภาพ ตามตำแหน่งบริหาร (ร้อยละ)</v>
      </c>
      <c r="I74" s="2254">
        <f>IF(C13="ไม่มี","",IF(I73&gt;K74,K74,I73))</f>
        <v>20</v>
      </c>
      <c r="J74" s="2254"/>
      <c r="K74" s="2075">
        <f>IF(C13="ไม่มี","",AF17)</f>
        <v>20</v>
      </c>
      <c r="L74" s="2263"/>
      <c r="M74" s="2264"/>
      <c r="N74" s="2264"/>
      <c r="O74" s="2264"/>
      <c r="P74" s="2264"/>
      <c r="Q74" s="2265"/>
      <c r="R74" s="63"/>
      <c r="S74" s="128"/>
      <c r="T74" s="128"/>
      <c r="U74" s="128"/>
      <c r="V74" s="128"/>
      <c r="W74" s="128"/>
      <c r="X74" s="128"/>
      <c r="Y74" s="128"/>
      <c r="Z74" s="128"/>
      <c r="AA74" s="74"/>
      <c r="AB74" s="94"/>
      <c r="AC74" s="64"/>
      <c r="AD74" s="173"/>
      <c r="AE74" s="93"/>
    </row>
    <row r="75" spans="1:31" ht="22.5" x14ac:dyDescent="0.55000000000000004">
      <c r="A75" s="2318" t="str">
        <f>"3. ภาระงานระดับหลักสูตร คณะ และมหาวิทยาลัยที่ได้รับมอบหมาย  (ร้อยละ "&amp;AC13&amp;")"</f>
        <v>3. ภาระงานระดับหลักสูตร คณะ และมหาวิทยาลัยที่ได้รับมอบหมาย  (ร้อยละ 10)</v>
      </c>
      <c r="B75" s="2319"/>
      <c r="C75" s="2319"/>
      <c r="D75" s="2319"/>
      <c r="E75" s="2319"/>
      <c r="F75" s="2319"/>
      <c r="G75" s="2319"/>
      <c r="H75" s="2319"/>
      <c r="I75" s="2319"/>
      <c r="J75" s="2319"/>
      <c r="K75" s="2319"/>
      <c r="L75" s="2319"/>
      <c r="M75" s="2319"/>
      <c r="N75" s="2319"/>
      <c r="O75" s="2319"/>
      <c r="P75" s="2319"/>
      <c r="Q75" s="2320"/>
      <c r="R75" s="63"/>
      <c r="AB75" s="94"/>
      <c r="AC75" s="64"/>
      <c r="AD75" s="64"/>
      <c r="AE75" s="93"/>
    </row>
    <row r="76" spans="1:31" ht="22.5" customHeight="1" x14ac:dyDescent="0.55000000000000004">
      <c r="A76" s="2168" t="s">
        <v>139</v>
      </c>
      <c r="B76" s="2169"/>
      <c r="C76" s="2170"/>
      <c r="D76" s="2154" t="s">
        <v>140</v>
      </c>
      <c r="E76" s="2155"/>
      <c r="F76" s="2155"/>
      <c r="G76" s="2155"/>
      <c r="H76" s="2156"/>
      <c r="I76" s="2160" t="s">
        <v>141</v>
      </c>
      <c r="J76" s="2161"/>
      <c r="K76" s="2174" t="s">
        <v>166</v>
      </c>
      <c r="L76" s="2176" t="s">
        <v>143</v>
      </c>
      <c r="M76" s="2177"/>
      <c r="N76" s="2177"/>
      <c r="O76" s="2177"/>
      <c r="P76" s="2177"/>
      <c r="Q76" s="2178"/>
      <c r="R76" s="63"/>
      <c r="AB76" s="98"/>
      <c r="AC76" s="275"/>
      <c r="AD76" s="275"/>
      <c r="AE76" s="93"/>
    </row>
    <row r="77" spans="1:31" ht="22.5" customHeight="1" x14ac:dyDescent="0.55000000000000004">
      <c r="A77" s="2171"/>
      <c r="B77" s="2172"/>
      <c r="C77" s="2173"/>
      <c r="D77" s="2157"/>
      <c r="E77" s="2158"/>
      <c r="F77" s="2158"/>
      <c r="G77" s="2158"/>
      <c r="H77" s="2159"/>
      <c r="I77" s="2162"/>
      <c r="J77" s="2163"/>
      <c r="K77" s="2175"/>
      <c r="L77" s="2051">
        <v>1</v>
      </c>
      <c r="M77" s="2051">
        <v>2</v>
      </c>
      <c r="N77" s="2051">
        <v>3</v>
      </c>
      <c r="O77" s="2051">
        <v>4</v>
      </c>
      <c r="P77" s="2176">
        <v>5</v>
      </c>
      <c r="Q77" s="2178"/>
      <c r="R77" s="63"/>
      <c r="AB77" s="98"/>
      <c r="AC77" s="275"/>
      <c r="AD77" s="275"/>
      <c r="AE77" s="63"/>
    </row>
    <row r="78" spans="1:31" ht="22.5" customHeight="1" x14ac:dyDescent="0.55000000000000004">
      <c r="A78" s="2065" t="s">
        <v>171</v>
      </c>
      <c r="B78" s="2282" t="s">
        <v>210</v>
      </c>
      <c r="C78" s="2282"/>
      <c r="D78" s="2066"/>
      <c r="E78" s="2048"/>
      <c r="F78" s="2048"/>
      <c r="G78" s="2048"/>
      <c r="H78" s="2067"/>
      <c r="I78" s="2397"/>
      <c r="J78" s="2398"/>
      <c r="K78" s="2068">
        <f>IF(AC13=10,5,"")</f>
        <v>5</v>
      </c>
      <c r="L78" s="2069"/>
      <c r="M78" s="2069"/>
      <c r="N78" s="2069"/>
      <c r="O78" s="2069"/>
      <c r="P78" s="2393"/>
      <c r="Q78" s="2393"/>
      <c r="R78" s="75"/>
      <c r="S78" s="2439" t="s">
        <v>1105</v>
      </c>
      <c r="T78" s="2440"/>
      <c r="U78" s="2440"/>
      <c r="V78" s="2440"/>
      <c r="W78" s="2440"/>
      <c r="X78" s="2440"/>
      <c r="Y78" s="2440"/>
      <c r="Z78" s="2441"/>
      <c r="AA78" s="101"/>
      <c r="AB78" s="98"/>
      <c r="AC78" s="275"/>
      <c r="AD78" s="275"/>
      <c r="AE78" s="75"/>
    </row>
    <row r="79" spans="1:31" ht="126.75" customHeight="1" x14ac:dyDescent="0.55000000000000004">
      <c r="A79" s="1992"/>
      <c r="B79" s="2258" t="s">
        <v>1327</v>
      </c>
      <c r="C79" s="2259"/>
      <c r="D79" s="2394"/>
      <c r="E79" s="2395"/>
      <c r="F79" s="2395"/>
      <c r="G79" s="2395"/>
      <c r="H79" s="2396"/>
      <c r="I79" s="2458">
        <v>3</v>
      </c>
      <c r="J79" s="2459"/>
      <c r="K79" s="1990">
        <v>5</v>
      </c>
      <c r="L79" s="1991"/>
      <c r="M79" s="1991"/>
      <c r="N79" s="1991"/>
      <c r="O79" s="1991"/>
      <c r="P79" s="2431"/>
      <c r="Q79" s="2432"/>
      <c r="R79" s="75"/>
      <c r="S79" s="1761"/>
      <c r="T79" s="2424" t="s">
        <v>1106</v>
      </c>
      <c r="U79" s="2424"/>
      <c r="V79" s="2424"/>
      <c r="W79" s="2424"/>
      <c r="X79" s="2424"/>
      <c r="Y79" s="2424"/>
      <c r="Z79" s="235"/>
      <c r="AA79" s="101"/>
      <c r="AB79" s="98"/>
      <c r="AC79" s="275"/>
      <c r="AD79" s="275"/>
      <c r="AE79" s="75"/>
    </row>
    <row r="80" spans="1:31" ht="22.5" customHeight="1" x14ac:dyDescent="0.55000000000000004">
      <c r="A80" s="2168" t="s">
        <v>139</v>
      </c>
      <c r="B80" s="2169"/>
      <c r="C80" s="2170"/>
      <c r="D80" s="2154" t="s">
        <v>140</v>
      </c>
      <c r="E80" s="2155"/>
      <c r="F80" s="2155"/>
      <c r="G80" s="2155"/>
      <c r="H80" s="2156"/>
      <c r="I80" s="2160" t="s">
        <v>141</v>
      </c>
      <c r="J80" s="2161"/>
      <c r="K80" s="2174" t="s">
        <v>166</v>
      </c>
      <c r="L80" s="2176" t="s">
        <v>143</v>
      </c>
      <c r="M80" s="2177"/>
      <c r="N80" s="2177"/>
      <c r="O80" s="2177"/>
      <c r="P80" s="2177"/>
      <c r="Q80" s="2178"/>
      <c r="R80" s="63"/>
      <c r="S80" s="135"/>
      <c r="T80" s="1762"/>
      <c r="U80" s="1762"/>
      <c r="V80" s="1762"/>
      <c r="W80" s="1762"/>
      <c r="X80" s="1762"/>
      <c r="Y80" s="1762"/>
      <c r="Z80" s="135"/>
      <c r="AA80" s="74"/>
      <c r="AB80" s="98"/>
      <c r="AC80" s="275"/>
      <c r="AD80" s="275"/>
      <c r="AE80" s="93"/>
    </row>
    <row r="81" spans="1:31" ht="22.5" x14ac:dyDescent="0.55000000000000004">
      <c r="A81" s="2171"/>
      <c r="B81" s="2172"/>
      <c r="C81" s="2173"/>
      <c r="D81" s="2157"/>
      <c r="E81" s="2158"/>
      <c r="F81" s="2158"/>
      <c r="G81" s="2158"/>
      <c r="H81" s="2159"/>
      <c r="I81" s="2162"/>
      <c r="J81" s="2163"/>
      <c r="K81" s="2175"/>
      <c r="L81" s="2051">
        <v>1</v>
      </c>
      <c r="M81" s="2051">
        <v>2</v>
      </c>
      <c r="N81" s="2051">
        <v>3</v>
      </c>
      <c r="O81" s="2051">
        <v>4</v>
      </c>
      <c r="P81" s="2176">
        <v>5</v>
      </c>
      <c r="Q81" s="2178"/>
      <c r="R81" s="63"/>
      <c r="S81" s="1763"/>
      <c r="T81" s="283"/>
      <c r="U81" s="283"/>
      <c r="V81" s="283"/>
      <c r="W81" s="283"/>
      <c r="X81" s="283"/>
      <c r="Y81" s="283"/>
      <c r="Z81" s="1763"/>
      <c r="AA81" s="74"/>
      <c r="AB81" s="98"/>
      <c r="AC81" s="275"/>
      <c r="AD81" s="275"/>
      <c r="AE81" s="63"/>
    </row>
    <row r="82" spans="1:31" ht="22.5" x14ac:dyDescent="0.55000000000000004">
      <c r="A82" s="2070" t="s">
        <v>177</v>
      </c>
      <c r="B82" s="2460" t="s">
        <v>212</v>
      </c>
      <c r="C82" s="2460"/>
      <c r="D82" s="2066"/>
      <c r="E82" s="2048"/>
      <c r="F82" s="2048"/>
      <c r="G82" s="2048"/>
      <c r="H82" s="2067"/>
      <c r="I82" s="2397"/>
      <c r="J82" s="2398"/>
      <c r="K82" s="2071">
        <f>IF(AC13=10,5,"")</f>
        <v>5</v>
      </c>
      <c r="L82" s="2069"/>
      <c r="M82" s="2069"/>
      <c r="N82" s="2069"/>
      <c r="O82" s="2069"/>
      <c r="P82" s="2393"/>
      <c r="Q82" s="2393"/>
      <c r="R82" s="75"/>
      <c r="S82" s="1763"/>
      <c r="T82" s="283"/>
      <c r="U82" s="283"/>
      <c r="V82" s="283"/>
      <c r="W82" s="283"/>
      <c r="X82" s="283"/>
      <c r="Y82" s="283"/>
      <c r="Z82" s="1763"/>
      <c r="AA82" s="101"/>
      <c r="AB82" s="94"/>
      <c r="AC82" s="64"/>
      <c r="AD82" s="64"/>
      <c r="AE82" s="75"/>
    </row>
    <row r="83" spans="1:31" ht="45" customHeight="1" x14ac:dyDescent="0.55000000000000004">
      <c r="A83" s="202"/>
      <c r="B83" s="2436" t="s">
        <v>213</v>
      </c>
      <c r="C83" s="2437"/>
      <c r="D83" s="2255"/>
      <c r="E83" s="2256"/>
      <c r="F83" s="2256"/>
      <c r="G83" s="2256"/>
      <c r="H83" s="2257"/>
      <c r="I83" s="2368">
        <v>3</v>
      </c>
      <c r="J83" s="2369"/>
      <c r="K83" s="1900">
        <f>IF(AC13=10,2,"")</f>
        <v>2</v>
      </c>
      <c r="L83" s="2079"/>
      <c r="M83" s="2079"/>
      <c r="N83" s="2079"/>
      <c r="O83" s="2079"/>
      <c r="P83" s="2399"/>
      <c r="Q83" s="2400"/>
      <c r="R83" s="75"/>
      <c r="S83" s="238"/>
      <c r="T83" s="238"/>
      <c r="U83" s="238"/>
      <c r="V83" s="238"/>
      <c r="W83" s="238"/>
      <c r="X83" s="238"/>
      <c r="Y83" s="238"/>
      <c r="Z83" s="238"/>
      <c r="AA83" s="101"/>
      <c r="AB83" s="94"/>
      <c r="AC83" s="64"/>
      <c r="AD83" s="64"/>
      <c r="AE83" s="75"/>
    </row>
    <row r="84" spans="1:31" ht="44.25" customHeight="1" x14ac:dyDescent="0.55000000000000004">
      <c r="A84" s="203"/>
      <c r="B84" s="2249" t="s">
        <v>214</v>
      </c>
      <c r="C84" s="2250"/>
      <c r="D84" s="2255"/>
      <c r="E84" s="2256"/>
      <c r="F84" s="2256"/>
      <c r="G84" s="2256"/>
      <c r="H84" s="2257"/>
      <c r="I84" s="2368">
        <v>3</v>
      </c>
      <c r="J84" s="2369"/>
      <c r="K84" s="1900">
        <f>IF(AC13=10,2,"")</f>
        <v>2</v>
      </c>
      <c r="L84" s="2080"/>
      <c r="M84" s="2080"/>
      <c r="N84" s="2080"/>
      <c r="O84" s="2080"/>
      <c r="P84" s="2399"/>
      <c r="Q84" s="2400"/>
      <c r="R84" s="63"/>
      <c r="S84" s="128"/>
      <c r="T84" s="128"/>
      <c r="U84" s="128"/>
      <c r="V84" s="128"/>
      <c r="W84" s="128"/>
      <c r="X84" s="128"/>
      <c r="Y84" s="128"/>
      <c r="Z84" s="128"/>
      <c r="AA84" s="74"/>
      <c r="AB84" s="94"/>
      <c r="AC84" s="64"/>
      <c r="AD84" s="64"/>
    </row>
    <row r="85" spans="1:31" ht="22.5" x14ac:dyDescent="0.55000000000000004">
      <c r="A85" s="204"/>
      <c r="B85" s="2455" t="s">
        <v>215</v>
      </c>
      <c r="C85" s="2456"/>
      <c r="D85" s="2255"/>
      <c r="E85" s="2256"/>
      <c r="F85" s="2256"/>
      <c r="G85" s="2256"/>
      <c r="H85" s="2257"/>
      <c r="I85" s="2368">
        <v>3</v>
      </c>
      <c r="J85" s="2369"/>
      <c r="K85" s="1900">
        <f>IF(AC13=10,1,"")</f>
        <v>1</v>
      </c>
      <c r="L85" s="2079"/>
      <c r="M85" s="2079"/>
      <c r="N85" s="2079"/>
      <c r="O85" s="2079"/>
      <c r="P85" s="2399"/>
      <c r="Q85" s="2400"/>
      <c r="R85" s="63"/>
      <c r="S85" s="128"/>
      <c r="T85" s="128"/>
      <c r="U85" s="128"/>
      <c r="V85" s="128"/>
      <c r="W85" s="128"/>
      <c r="X85" s="128"/>
      <c r="Y85" s="128"/>
      <c r="Z85" s="128"/>
      <c r="AA85" s="74"/>
      <c r="AB85" s="94"/>
      <c r="AC85" s="64"/>
      <c r="AD85" s="64"/>
    </row>
    <row r="86" spans="1:31" ht="22.5" x14ac:dyDescent="0.55000000000000004">
      <c r="A86" s="2370" t="str">
        <f>"4. การประเมินการพัฒนาตนเอง  (ร้อยละ "&amp;AC14&amp;")"</f>
        <v>4. การประเมินการพัฒนาตนเอง  (ร้อยละ 5)</v>
      </c>
      <c r="B86" s="2371"/>
      <c r="C86" s="2371"/>
      <c r="D86" s="2371"/>
      <c r="E86" s="2371"/>
      <c r="F86" s="2371"/>
      <c r="G86" s="2371"/>
      <c r="H86" s="2371"/>
      <c r="I86" s="2371"/>
      <c r="J86" s="2371"/>
      <c r="K86" s="2371"/>
      <c r="L86" s="2371"/>
      <c r="M86" s="2371"/>
      <c r="N86" s="2371"/>
      <c r="O86" s="2371"/>
      <c r="P86" s="2371"/>
      <c r="Q86" s="2372"/>
      <c r="R86" s="63"/>
      <c r="S86" s="128"/>
      <c r="T86" s="128"/>
      <c r="U86" s="128"/>
      <c r="V86" s="128"/>
      <c r="W86" s="128"/>
      <c r="X86" s="128"/>
      <c r="Y86" s="128"/>
      <c r="Z86" s="128"/>
      <c r="AA86" s="74"/>
      <c r="AB86" s="94"/>
      <c r="AC86" s="64"/>
      <c r="AD86" s="64"/>
    </row>
    <row r="87" spans="1:31" ht="22.5" x14ac:dyDescent="0.55000000000000004">
      <c r="A87" s="2153" t="s">
        <v>139</v>
      </c>
      <c r="B87" s="2153"/>
      <c r="C87" s="2153"/>
      <c r="D87" s="2154" t="s">
        <v>140</v>
      </c>
      <c r="E87" s="2155"/>
      <c r="F87" s="2155"/>
      <c r="G87" s="2155"/>
      <c r="H87" s="2156"/>
      <c r="I87" s="2160" t="s">
        <v>216</v>
      </c>
      <c r="J87" s="2161"/>
      <c r="K87" s="2161" t="s">
        <v>217</v>
      </c>
      <c r="L87" s="2321" t="s">
        <v>143</v>
      </c>
      <c r="M87" s="2321"/>
      <c r="N87" s="2321"/>
      <c r="O87" s="2321"/>
      <c r="P87" s="2321"/>
      <c r="Q87" s="2321"/>
      <c r="R87" s="63"/>
      <c r="S87" s="128"/>
      <c r="T87" s="128"/>
      <c r="U87" s="128"/>
      <c r="V87" s="128"/>
      <c r="W87" s="128"/>
      <c r="X87" s="128"/>
      <c r="Y87" s="128"/>
      <c r="Z87" s="128"/>
      <c r="AA87" s="74"/>
      <c r="AB87" s="98"/>
      <c r="AC87" s="275"/>
      <c r="AD87" s="275"/>
    </row>
    <row r="88" spans="1:31" ht="22.5" x14ac:dyDescent="0.55000000000000004">
      <c r="A88" s="2153"/>
      <c r="B88" s="2153"/>
      <c r="C88" s="2153"/>
      <c r="D88" s="2157"/>
      <c r="E88" s="2158"/>
      <c r="F88" s="2158"/>
      <c r="G88" s="2158"/>
      <c r="H88" s="2159"/>
      <c r="I88" s="2162"/>
      <c r="J88" s="2163"/>
      <c r="K88" s="2163"/>
      <c r="L88" s="2051">
        <v>1</v>
      </c>
      <c r="M88" s="2051">
        <v>2</v>
      </c>
      <c r="N88" s="2051">
        <v>3</v>
      </c>
      <c r="O88" s="2051">
        <v>4</v>
      </c>
      <c r="P88" s="2321">
        <v>5</v>
      </c>
      <c r="Q88" s="2321"/>
      <c r="R88" s="63"/>
      <c r="S88" s="128"/>
      <c r="T88" s="128"/>
      <c r="U88" s="128"/>
      <c r="V88" s="128"/>
      <c r="W88" s="128"/>
      <c r="X88" s="128"/>
      <c r="Y88" s="128"/>
      <c r="Z88" s="128"/>
      <c r="AA88" s="74"/>
      <c r="AB88" s="276"/>
      <c r="AC88" s="277"/>
      <c r="AD88" s="277"/>
    </row>
    <row r="89" spans="1:31" ht="22.5" x14ac:dyDescent="0.55000000000000004">
      <c r="A89" s="2457" t="s">
        <v>218</v>
      </c>
      <c r="B89" s="2457"/>
      <c r="C89" s="2457"/>
      <c r="D89" s="2449" t="s">
        <v>219</v>
      </c>
      <c r="E89" s="2450"/>
      <c r="F89" s="2450"/>
      <c r="G89" s="2450"/>
      <c r="H89" s="2451"/>
      <c r="I89" s="2407">
        <v>3</v>
      </c>
      <c r="J89" s="2408"/>
      <c r="K89" s="97">
        <f>AC14</f>
        <v>5</v>
      </c>
      <c r="L89" s="77" t="s">
        <v>220</v>
      </c>
      <c r="M89" s="77" t="s">
        <v>221</v>
      </c>
      <c r="N89" s="77" t="s">
        <v>222</v>
      </c>
      <c r="O89" s="77" t="s">
        <v>223</v>
      </c>
      <c r="P89" s="2352" t="s">
        <v>224</v>
      </c>
      <c r="Q89" s="2354"/>
      <c r="R89" s="75"/>
      <c r="S89" s="238"/>
      <c r="T89" s="238"/>
      <c r="U89" s="238"/>
      <c r="V89" s="238"/>
      <c r="W89" s="238"/>
      <c r="X89" s="238"/>
      <c r="Y89" s="238"/>
      <c r="Z89" s="238"/>
      <c r="AA89" s="101"/>
      <c r="AB89" s="94"/>
      <c r="AC89" s="64"/>
      <c r="AD89" s="64"/>
    </row>
    <row r="90" spans="1:31" ht="38.25" customHeight="1" x14ac:dyDescent="0.55000000000000004">
      <c r="A90" s="2457"/>
      <c r="B90" s="2457"/>
      <c r="C90" s="2457"/>
      <c r="D90" s="2413" t="s">
        <v>225</v>
      </c>
      <c r="E90" s="2414"/>
      <c r="F90" s="2414"/>
      <c r="G90" s="2414"/>
      <c r="H90" s="2415"/>
      <c r="I90" s="2409"/>
      <c r="J90" s="2410"/>
      <c r="K90" s="115"/>
      <c r="L90" s="116"/>
      <c r="M90" s="117"/>
      <c r="N90" s="117"/>
      <c r="O90" s="117"/>
      <c r="P90" s="87"/>
      <c r="Q90" s="118"/>
      <c r="R90" s="119"/>
      <c r="S90" s="239"/>
      <c r="T90" s="239"/>
      <c r="U90" s="239"/>
      <c r="V90" s="239"/>
      <c r="W90" s="239"/>
      <c r="X90" s="239"/>
      <c r="Y90" s="239"/>
      <c r="Z90" s="239"/>
      <c r="AA90" s="120"/>
      <c r="AB90" s="94"/>
      <c r="AC90" s="64"/>
      <c r="AD90" s="64"/>
    </row>
    <row r="91" spans="1:31" ht="21.75" customHeight="1" x14ac:dyDescent="0.55000000000000004">
      <c r="A91" s="2457"/>
      <c r="B91" s="2457"/>
      <c r="C91" s="2457"/>
      <c r="D91" s="2401" t="s">
        <v>226</v>
      </c>
      <c r="E91" s="2402"/>
      <c r="F91" s="2402"/>
      <c r="G91" s="2402"/>
      <c r="H91" s="2403"/>
      <c r="I91" s="2409"/>
      <c r="J91" s="2410"/>
      <c r="K91" s="174"/>
      <c r="L91" s="109"/>
      <c r="M91" s="68"/>
      <c r="N91" s="68"/>
      <c r="O91" s="68"/>
      <c r="P91" s="177"/>
      <c r="Q91" s="71"/>
      <c r="R91" s="63"/>
      <c r="S91" s="128"/>
      <c r="T91" s="128"/>
      <c r="U91" s="128"/>
      <c r="V91" s="128"/>
      <c r="W91" s="128"/>
      <c r="X91" s="128"/>
      <c r="Y91" s="128"/>
      <c r="Z91" s="128"/>
      <c r="AA91" s="74"/>
      <c r="AB91" s="278"/>
      <c r="AC91" s="279"/>
      <c r="AD91" s="279"/>
    </row>
    <row r="92" spans="1:31" ht="56.25" customHeight="1" x14ac:dyDescent="0.55000000000000004">
      <c r="A92" s="2457"/>
      <c r="B92" s="2457"/>
      <c r="C92" s="2457"/>
      <c r="D92" s="2413" t="s">
        <v>227</v>
      </c>
      <c r="E92" s="2414"/>
      <c r="F92" s="2414"/>
      <c r="G92" s="2414"/>
      <c r="H92" s="2415"/>
      <c r="I92" s="2409"/>
      <c r="J92" s="2410"/>
      <c r="K92" s="174"/>
      <c r="L92" s="79"/>
      <c r="M92" s="78"/>
      <c r="N92" s="78"/>
      <c r="O92" s="78"/>
      <c r="P92" s="88"/>
      <c r="Q92" s="71"/>
      <c r="R92" s="63"/>
      <c r="S92" s="128"/>
      <c r="T92" s="128"/>
      <c r="U92" s="128"/>
      <c r="V92" s="128"/>
      <c r="W92" s="128"/>
      <c r="X92" s="128"/>
      <c r="Y92" s="128"/>
      <c r="Z92" s="128"/>
      <c r="AA92" s="74"/>
      <c r="AB92" s="94"/>
      <c r="AC92" s="64"/>
      <c r="AD92" s="64"/>
    </row>
    <row r="93" spans="1:31" ht="22.5" x14ac:dyDescent="0.55000000000000004">
      <c r="A93" s="2457"/>
      <c r="B93" s="2457"/>
      <c r="C93" s="2457"/>
      <c r="D93" s="2404" t="s">
        <v>385</v>
      </c>
      <c r="E93" s="2405"/>
      <c r="F93" s="2405"/>
      <c r="G93" s="2405"/>
      <c r="H93" s="2406"/>
      <c r="I93" s="2409"/>
      <c r="J93" s="2410"/>
      <c r="K93" s="110"/>
      <c r="L93" s="111"/>
      <c r="M93" s="112"/>
      <c r="N93" s="112"/>
      <c r="O93" s="112"/>
      <c r="P93" s="113"/>
      <c r="Q93" s="114"/>
      <c r="R93" s="70"/>
      <c r="S93" s="153"/>
      <c r="T93" s="153"/>
      <c r="U93" s="153"/>
      <c r="V93" s="153"/>
      <c r="W93" s="153"/>
      <c r="X93" s="153"/>
      <c r="Y93" s="153"/>
      <c r="Z93" s="153"/>
      <c r="AA93" s="105"/>
      <c r="AB93" s="94"/>
      <c r="AC93" s="64"/>
      <c r="AD93" s="64"/>
    </row>
    <row r="94" spans="1:31" ht="22.5" x14ac:dyDescent="0.55000000000000004">
      <c r="A94" s="2457"/>
      <c r="B94" s="2457"/>
      <c r="C94" s="2457"/>
      <c r="D94" s="2246" t="s">
        <v>386</v>
      </c>
      <c r="E94" s="2247"/>
      <c r="F94" s="2247"/>
      <c r="G94" s="2247"/>
      <c r="H94" s="2248"/>
      <c r="I94" s="2411"/>
      <c r="J94" s="2412"/>
      <c r="K94" s="108"/>
      <c r="L94" s="66"/>
      <c r="M94" s="69"/>
      <c r="N94" s="69"/>
      <c r="O94" s="69"/>
      <c r="P94" s="85"/>
      <c r="Q94" s="67"/>
      <c r="R94" s="63"/>
      <c r="S94" s="128"/>
      <c r="T94" s="128"/>
      <c r="U94" s="128"/>
      <c r="V94" s="128"/>
      <c r="W94" s="128"/>
      <c r="X94" s="128"/>
      <c r="Y94" s="128"/>
      <c r="Z94" s="128"/>
      <c r="AA94" s="74"/>
      <c r="AB94" s="94"/>
      <c r="AC94" s="64"/>
      <c r="AD94" s="64"/>
    </row>
    <row r="95" spans="1:31" ht="22.5" x14ac:dyDescent="0.55000000000000004">
      <c r="A95" s="2370" t="str">
        <f>IF(C13=น้ำหนัก!A4,"5. ผลการประเมินการประกันคุณภาพของมหาวิทยาลัย  (ร้อยละ "&amp;AC15&amp;")",IF(OR(C13=น้ำหนัก!A10,C13=น้ำหนัก!A11,C13=น้ำหนัก!A12,C13=น้ำหนัก!A3),"5. ผลการประเมินการประกันคุณภาพของหลักสูตร  (ร้อยละ "&amp;AC15&amp;")","5. ผลการประเมินการประกันคุณภาพของหน่วยงาน  (ร้อยละ "&amp;AC15&amp;")"))</f>
        <v>5. ผลการประเมินการประกันคุณภาพของหลักสูตร  (ร้อยละ 5)</v>
      </c>
      <c r="B95" s="2371"/>
      <c r="C95" s="2371"/>
      <c r="D95" s="2371"/>
      <c r="E95" s="2371"/>
      <c r="F95" s="2371"/>
      <c r="G95" s="2371"/>
      <c r="H95" s="2371"/>
      <c r="I95" s="2371"/>
      <c r="J95" s="2371"/>
      <c r="K95" s="2371"/>
      <c r="L95" s="2371"/>
      <c r="M95" s="2371"/>
      <c r="N95" s="2371"/>
      <c r="O95" s="2371"/>
      <c r="P95" s="2371"/>
      <c r="Q95" s="2372"/>
      <c r="R95" s="63"/>
      <c r="S95" s="128"/>
      <c r="T95" s="128"/>
      <c r="U95" s="128"/>
      <c r="V95" s="128"/>
      <c r="W95" s="128"/>
      <c r="X95" s="128"/>
      <c r="Y95" s="128"/>
      <c r="Z95" s="128"/>
      <c r="AA95" s="74"/>
      <c r="AB95" s="94"/>
      <c r="AC95" s="64"/>
      <c r="AD95" s="64"/>
    </row>
    <row r="96" spans="1:31" ht="22.5" x14ac:dyDescent="0.55000000000000004">
      <c r="A96" s="2153" t="s">
        <v>139</v>
      </c>
      <c r="B96" s="2153"/>
      <c r="C96" s="2153"/>
      <c r="D96" s="2154" t="s">
        <v>140</v>
      </c>
      <c r="E96" s="2155"/>
      <c r="F96" s="2155"/>
      <c r="G96" s="2155"/>
      <c r="H96" s="2156"/>
      <c r="I96" s="2160" t="s">
        <v>216</v>
      </c>
      <c r="J96" s="2161"/>
      <c r="K96" s="2161" t="s">
        <v>217</v>
      </c>
      <c r="L96" s="2321" t="s">
        <v>143</v>
      </c>
      <c r="M96" s="2321"/>
      <c r="N96" s="2321"/>
      <c r="O96" s="2321"/>
      <c r="P96" s="2321"/>
      <c r="Q96" s="2321"/>
      <c r="R96" s="63"/>
      <c r="S96" s="128"/>
      <c r="T96" s="128"/>
      <c r="U96" s="128"/>
      <c r="V96" s="128"/>
      <c r="W96" s="128"/>
      <c r="X96" s="128"/>
      <c r="Y96" s="128"/>
      <c r="Z96" s="128"/>
      <c r="AA96" s="74"/>
      <c r="AB96" s="98"/>
      <c r="AC96" s="275"/>
      <c r="AD96" s="275"/>
    </row>
    <row r="97" spans="1:30" ht="22.5" x14ac:dyDescent="0.55000000000000004">
      <c r="A97" s="2153"/>
      <c r="B97" s="2153"/>
      <c r="C97" s="2153"/>
      <c r="D97" s="2157"/>
      <c r="E97" s="2158"/>
      <c r="F97" s="2158"/>
      <c r="G97" s="2158"/>
      <c r="H97" s="2159"/>
      <c r="I97" s="2162"/>
      <c r="J97" s="2163"/>
      <c r="K97" s="2163"/>
      <c r="L97" s="2051">
        <v>1</v>
      </c>
      <c r="M97" s="2051">
        <v>2</v>
      </c>
      <c r="N97" s="2051">
        <v>3</v>
      </c>
      <c r="O97" s="2051">
        <v>4</v>
      </c>
      <c r="P97" s="2176">
        <v>5</v>
      </c>
      <c r="Q97" s="2178"/>
      <c r="R97" s="64"/>
      <c r="S97" s="129"/>
      <c r="T97" s="129"/>
      <c r="U97" s="129"/>
      <c r="V97" s="129"/>
      <c r="W97" s="129"/>
      <c r="X97" s="129"/>
      <c r="Y97" s="129"/>
      <c r="Z97" s="129"/>
      <c r="AA97" s="94"/>
      <c r="AB97" s="98"/>
      <c r="AC97" s="275"/>
      <c r="AD97" s="275"/>
    </row>
    <row r="98" spans="1:30" ht="24.75" x14ac:dyDescent="0.6">
      <c r="A98" s="2380" t="s">
        <v>228</v>
      </c>
      <c r="B98" s="2381"/>
      <c r="C98" s="2382"/>
      <c r="D98" s="2380" t="str">
        <f>IF(C13=น้ำหนัก!A4,"ผลการประเมินการประกันคุณภาพระดับมหาวิทยาลัย",IF(OR(C13=น้ำหนัก!A10,C13=น้ำหนัก!A11,C13=น้ำหนัก!A12,C13=น้ำหนัก!A3),"ผลการประเมินการประกันคุณภาพระดับหลักสูตร","ผลการประเมินการประกันคุณภาพระดับหน่วยงาน"))</f>
        <v>ผลการประเมินการประกันคุณภาพระดับหลักสูตร</v>
      </c>
      <c r="E98" s="2381"/>
      <c r="F98" s="2381"/>
      <c r="G98" s="2381"/>
      <c r="H98" s="2382"/>
      <c r="I98" s="2407">
        <v>2.5</v>
      </c>
      <c r="J98" s="2408"/>
      <c r="K98" s="2391">
        <f>AC15</f>
        <v>5</v>
      </c>
      <c r="L98" s="2416"/>
      <c r="M98" s="2416"/>
      <c r="N98" s="2416"/>
      <c r="O98" s="2416"/>
      <c r="P98" s="2461"/>
      <c r="Q98" s="2462"/>
      <c r="R98" s="75"/>
      <c r="S98" s="238"/>
      <c r="T98" s="238"/>
      <c r="U98" s="238"/>
      <c r="V98" s="238"/>
      <c r="W98" s="238"/>
      <c r="X98" s="238"/>
      <c r="Y98" s="238"/>
      <c r="Z98" s="238"/>
      <c r="AA98" s="101"/>
      <c r="AB98" s="102"/>
      <c r="AC98" s="65"/>
      <c r="AD98" s="65"/>
    </row>
    <row r="99" spans="1:30" ht="22.5" x14ac:dyDescent="0.55000000000000004">
      <c r="A99" s="2386" t="str">
        <f>IF(C13=น้ำหนัก!A4,"มหาวิทยาลัย ประจำปี 2560",IF(OR(C13=น้ำหนัก!A10,C13=น้ำหนัก!A11,C13=น้ำหนัก!A12,C13=น้ำหนัก!A3),"หลักสูตร ประจำปี 2560","หน่วยงาน ประจำปี 2560"))</f>
        <v>หลักสูตร ประจำปี 2560</v>
      </c>
      <c r="B99" s="2387"/>
      <c r="C99" s="2388"/>
      <c r="D99" s="2383" t="s">
        <v>387</v>
      </c>
      <c r="E99" s="2384"/>
      <c r="F99" s="2384"/>
      <c r="G99" s="2384"/>
      <c r="H99" s="2385"/>
      <c r="I99" s="2411"/>
      <c r="J99" s="2412"/>
      <c r="K99" s="2392"/>
      <c r="L99" s="2417"/>
      <c r="M99" s="2417"/>
      <c r="N99" s="2417"/>
      <c r="O99" s="2417"/>
      <c r="P99" s="2463"/>
      <c r="Q99" s="2464"/>
      <c r="R99" s="75"/>
      <c r="S99" s="238"/>
      <c r="T99" s="238"/>
      <c r="U99" s="238"/>
      <c r="V99" s="238"/>
      <c r="W99" s="238"/>
      <c r="X99" s="238"/>
      <c r="Y99" s="238"/>
      <c r="Z99" s="238"/>
      <c r="AA99" s="101"/>
      <c r="AB99" s="94"/>
      <c r="AC99" s="64"/>
      <c r="AD99" s="64"/>
    </row>
    <row r="100" spans="1:30" ht="22.5" x14ac:dyDescent="0.55000000000000004">
      <c r="A100" s="2370" t="str">
        <f>"6. ภาระงานเชิงยุทธศาสตร์ของหน่วยงาน/มหาวิทยาลัย  (ร้อยละ "&amp;AC17&amp;")"</f>
        <v>6. ภาระงานเชิงยุทธศาสตร์ของหน่วยงาน/มหาวิทยาลัย  (ร้อยละ 10)</v>
      </c>
      <c r="B100" s="2371"/>
      <c r="C100" s="2371"/>
      <c r="D100" s="2371"/>
      <c r="E100" s="2371"/>
      <c r="F100" s="2371"/>
      <c r="G100" s="2371"/>
      <c r="H100" s="2371"/>
      <c r="I100" s="2371"/>
      <c r="J100" s="2371"/>
      <c r="K100" s="2371"/>
      <c r="L100" s="2371"/>
      <c r="M100" s="2371"/>
      <c r="N100" s="2371"/>
      <c r="O100" s="2371"/>
      <c r="P100" s="2371"/>
      <c r="Q100" s="2372"/>
      <c r="R100" s="63"/>
      <c r="S100" s="128"/>
      <c r="T100" s="128"/>
      <c r="U100" s="128"/>
      <c r="V100" s="128"/>
      <c r="W100" s="128"/>
      <c r="X100" s="128"/>
      <c r="Y100" s="128"/>
      <c r="Z100" s="128"/>
      <c r="AA100" s="74"/>
      <c r="AB100" s="94"/>
      <c r="AC100" s="64"/>
      <c r="AD100" s="64"/>
    </row>
    <row r="101" spans="1:30" ht="22.5" x14ac:dyDescent="0.55000000000000004">
      <c r="A101" s="2153" t="s">
        <v>139</v>
      </c>
      <c r="B101" s="2153"/>
      <c r="C101" s="2153"/>
      <c r="D101" s="2154" t="s">
        <v>140</v>
      </c>
      <c r="E101" s="2155"/>
      <c r="F101" s="2155"/>
      <c r="G101" s="2155"/>
      <c r="H101" s="2156"/>
      <c r="I101" s="2160" t="s">
        <v>216</v>
      </c>
      <c r="J101" s="2161"/>
      <c r="K101" s="2161" t="s">
        <v>217</v>
      </c>
      <c r="L101" s="2321" t="s">
        <v>143</v>
      </c>
      <c r="M101" s="2321"/>
      <c r="N101" s="2321"/>
      <c r="O101" s="2321"/>
      <c r="P101" s="2321"/>
      <c r="Q101" s="2321"/>
      <c r="R101" s="63"/>
      <c r="S101" s="128"/>
      <c r="T101" s="128"/>
      <c r="U101" s="128"/>
      <c r="V101" s="128"/>
      <c r="W101" s="128"/>
      <c r="X101" s="128"/>
      <c r="Y101" s="128"/>
      <c r="Z101" s="128"/>
      <c r="AA101" s="74"/>
      <c r="AB101" s="94"/>
      <c r="AC101" s="64"/>
      <c r="AD101" s="64"/>
    </row>
    <row r="102" spans="1:30" ht="22.5" x14ac:dyDescent="0.55000000000000004">
      <c r="A102" s="2153"/>
      <c r="B102" s="2153"/>
      <c r="C102" s="2153"/>
      <c r="D102" s="2157"/>
      <c r="E102" s="2158"/>
      <c r="F102" s="2158"/>
      <c r="G102" s="2158"/>
      <c r="H102" s="2159"/>
      <c r="I102" s="2162"/>
      <c r="J102" s="2163"/>
      <c r="K102" s="2163"/>
      <c r="L102" s="2051">
        <v>1</v>
      </c>
      <c r="M102" s="2051">
        <v>2</v>
      </c>
      <c r="N102" s="2051">
        <v>3</v>
      </c>
      <c r="O102" s="2051">
        <v>4</v>
      </c>
      <c r="P102" s="2176">
        <v>5</v>
      </c>
      <c r="Q102" s="2178"/>
      <c r="R102" s="64"/>
      <c r="S102" s="129"/>
      <c r="T102" s="129"/>
      <c r="U102" s="129"/>
      <c r="V102" s="129"/>
      <c r="W102" s="129"/>
      <c r="X102" s="129"/>
      <c r="Y102" s="129"/>
      <c r="Z102" s="129"/>
      <c r="AA102" s="94"/>
      <c r="AB102" s="94"/>
      <c r="AC102" s="64"/>
      <c r="AD102" s="64"/>
    </row>
    <row r="103" spans="1:30" ht="40.5" customHeight="1" x14ac:dyDescent="0.55000000000000004">
      <c r="A103" s="171"/>
      <c r="B103" s="2373" t="s">
        <v>1259</v>
      </c>
      <c r="C103" s="2374"/>
      <c r="D103" s="2377" t="s">
        <v>211</v>
      </c>
      <c r="E103" s="2378"/>
      <c r="F103" s="2378"/>
      <c r="G103" s="2378"/>
      <c r="H103" s="2379"/>
      <c r="I103" s="2368">
        <v>3</v>
      </c>
      <c r="J103" s="2369"/>
      <c r="K103" s="2077">
        <v>2.5</v>
      </c>
      <c r="L103" s="2078"/>
      <c r="M103" s="2078"/>
      <c r="N103" s="2078"/>
      <c r="O103" s="2078"/>
      <c r="P103" s="2389"/>
      <c r="Q103" s="2390"/>
      <c r="R103" s="63"/>
      <c r="S103" s="128"/>
      <c r="T103" s="128"/>
      <c r="U103" s="128"/>
      <c r="V103" s="128"/>
      <c r="W103" s="128"/>
      <c r="X103" s="128"/>
      <c r="Y103" s="128"/>
      <c r="Z103" s="128"/>
      <c r="AA103" s="74"/>
      <c r="AB103" s="94"/>
      <c r="AC103" s="64"/>
      <c r="AD103" s="64"/>
    </row>
    <row r="104" spans="1:30" ht="43.5" customHeight="1" x14ac:dyDescent="0.55000000000000004">
      <c r="A104" s="171"/>
      <c r="B104" s="2373" t="s">
        <v>1260</v>
      </c>
      <c r="C104" s="2374"/>
      <c r="D104" s="2377" t="s">
        <v>211</v>
      </c>
      <c r="E104" s="2378"/>
      <c r="F104" s="2378"/>
      <c r="G104" s="2378"/>
      <c r="H104" s="2379"/>
      <c r="I104" s="2368">
        <v>3</v>
      </c>
      <c r="J104" s="2369"/>
      <c r="K104" s="2077">
        <v>2.5</v>
      </c>
      <c r="L104" s="2078"/>
      <c r="M104" s="2078"/>
      <c r="N104" s="2078"/>
      <c r="O104" s="2078"/>
      <c r="P104" s="2389"/>
      <c r="Q104" s="2390"/>
      <c r="R104" s="63"/>
      <c r="S104" s="128"/>
      <c r="T104" s="128"/>
      <c r="U104" s="128"/>
      <c r="V104" s="128"/>
      <c r="W104" s="128"/>
      <c r="X104" s="128"/>
      <c r="Y104" s="128"/>
      <c r="Z104" s="128"/>
      <c r="AA104" s="74"/>
      <c r="AB104" s="94"/>
      <c r="AC104" s="64"/>
      <c r="AD104" s="64"/>
    </row>
    <row r="105" spans="1:30" ht="40.5" customHeight="1" x14ac:dyDescent="0.55000000000000004">
      <c r="A105" s="171"/>
      <c r="B105" s="2375" t="s">
        <v>229</v>
      </c>
      <c r="C105" s="2376"/>
      <c r="D105" s="2377" t="s">
        <v>211</v>
      </c>
      <c r="E105" s="2378"/>
      <c r="F105" s="2378"/>
      <c r="G105" s="2378"/>
      <c r="H105" s="2379"/>
      <c r="I105" s="2368">
        <v>3</v>
      </c>
      <c r="J105" s="2369"/>
      <c r="K105" s="2077">
        <v>5</v>
      </c>
      <c r="L105" s="2078"/>
      <c r="M105" s="2078"/>
      <c r="N105" s="2078"/>
      <c r="O105" s="2078"/>
      <c r="P105" s="2389"/>
      <c r="Q105" s="2390"/>
      <c r="R105" s="63"/>
      <c r="S105" s="128"/>
      <c r="T105" s="128"/>
      <c r="U105" s="128"/>
      <c r="V105" s="128"/>
      <c r="W105" s="128"/>
      <c r="X105" s="128"/>
      <c r="Y105" s="128"/>
      <c r="Z105" s="128"/>
      <c r="AA105" s="74"/>
      <c r="AB105" s="94"/>
      <c r="AC105" s="64"/>
      <c r="AD105" s="64"/>
    </row>
    <row r="106" spans="1:30" ht="9" customHeight="1" x14ac:dyDescent="0.55000000000000004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64"/>
      <c r="S106" s="129"/>
      <c r="T106" s="129"/>
      <c r="U106" s="129"/>
      <c r="V106" s="129"/>
      <c r="W106" s="129"/>
      <c r="X106" s="129"/>
      <c r="Y106" s="129"/>
      <c r="Z106" s="129"/>
      <c r="AA106" s="94"/>
      <c r="AB106" s="94"/>
      <c r="AC106" s="94"/>
      <c r="AD106" s="94"/>
    </row>
    <row r="107" spans="1:30" ht="22.5" x14ac:dyDescent="0.55000000000000004">
      <c r="A107" s="92" t="s">
        <v>230</v>
      </c>
      <c r="B107" s="63"/>
      <c r="C107" s="63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64"/>
      <c r="Q107" s="63"/>
      <c r="R107" s="64"/>
      <c r="S107" s="129"/>
      <c r="T107" s="129"/>
      <c r="U107" s="129"/>
      <c r="V107" s="129"/>
      <c r="W107" s="129"/>
      <c r="X107" s="129"/>
      <c r="Y107" s="129"/>
      <c r="Z107" s="129"/>
      <c r="AA107" s="94"/>
      <c r="AB107" s="94"/>
      <c r="AC107" s="64"/>
      <c r="AD107" s="64"/>
    </row>
    <row r="108" spans="1:30" ht="22.5" x14ac:dyDescent="0.55000000000000004">
      <c r="A108" s="80"/>
      <c r="B108" s="2364" t="s">
        <v>231</v>
      </c>
      <c r="C108" s="2366"/>
      <c r="D108" s="2365"/>
      <c r="E108" s="206"/>
      <c r="F108" s="2367" t="s">
        <v>232</v>
      </c>
      <c r="G108" s="2367"/>
      <c r="H108" s="2367"/>
      <c r="I108" s="2367"/>
      <c r="J108" s="206"/>
      <c r="K108" s="2367" t="s">
        <v>233</v>
      </c>
      <c r="L108" s="2367"/>
      <c r="M108" s="2367"/>
      <c r="N108" s="2367"/>
      <c r="O108" s="2367"/>
      <c r="P108" s="73"/>
      <c r="Q108" s="80"/>
      <c r="R108" s="74"/>
      <c r="S108" s="2228" t="s">
        <v>234</v>
      </c>
      <c r="T108" s="2229"/>
      <c r="U108" s="2229"/>
      <c r="V108" s="2229"/>
      <c r="W108" s="2229"/>
      <c r="X108" s="2229"/>
      <c r="Y108" s="2229"/>
      <c r="Z108" s="2230"/>
      <c r="AA108" s="74"/>
      <c r="AB108" s="280"/>
      <c r="AC108" s="90"/>
      <c r="AD108" s="90"/>
    </row>
    <row r="109" spans="1:30" ht="22.5" x14ac:dyDescent="0.55000000000000004">
      <c r="A109" s="207"/>
      <c r="B109" s="2364" t="s">
        <v>235</v>
      </c>
      <c r="C109" s="2365"/>
      <c r="D109" s="208" t="s">
        <v>236</v>
      </c>
      <c r="E109" s="80"/>
      <c r="F109" s="2364" t="s">
        <v>235</v>
      </c>
      <c r="G109" s="2366"/>
      <c r="H109" s="2365"/>
      <c r="I109" s="209" t="s">
        <v>236</v>
      </c>
      <c r="J109" s="90"/>
      <c r="K109" s="2338" t="s">
        <v>235</v>
      </c>
      <c r="L109" s="2339"/>
      <c r="M109" s="2340"/>
      <c r="N109" s="2364" t="s">
        <v>236</v>
      </c>
      <c r="O109" s="2365"/>
      <c r="P109" s="90"/>
      <c r="Q109" s="80"/>
      <c r="R109" s="63"/>
      <c r="S109" s="223"/>
      <c r="T109" s="158" t="s">
        <v>237</v>
      </c>
      <c r="U109" s="224"/>
      <c r="V109" s="224"/>
      <c r="W109" s="224"/>
      <c r="X109" s="224"/>
      <c r="Y109" s="224"/>
      <c r="Z109" s="225"/>
      <c r="AA109" s="74"/>
      <c r="AB109" s="280"/>
      <c r="AC109" s="90"/>
      <c r="AD109" s="90"/>
    </row>
    <row r="110" spans="1:30" ht="22.5" x14ac:dyDescent="0.55000000000000004">
      <c r="A110" s="81"/>
      <c r="B110" s="210" t="s">
        <v>238</v>
      </c>
      <c r="C110" s="211"/>
      <c r="D110" s="167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110" s="81"/>
      <c r="F110" s="210" t="s">
        <v>239</v>
      </c>
      <c r="G110" s="83"/>
      <c r="H110" s="211"/>
      <c r="I110" s="154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0" s="182"/>
      <c r="K110" s="2341" t="s">
        <v>240</v>
      </c>
      <c r="L110" s="2342"/>
      <c r="M110" s="2343"/>
      <c r="N110" s="2350" t="str">
        <f>IF(AE25=0,"",AE25)</f>
        <v/>
      </c>
      <c r="O110" s="2351"/>
      <c r="P110" s="182"/>
      <c r="Q110" s="81"/>
      <c r="R110" s="80"/>
      <c r="S110" s="161"/>
      <c r="T110" s="2148" t="s">
        <v>241</v>
      </c>
      <c r="U110" s="2148"/>
      <c r="V110" s="2148"/>
      <c r="W110" s="2148"/>
      <c r="X110" s="2148"/>
      <c r="Y110" s="2148"/>
      <c r="Z110" s="163"/>
      <c r="AA110" s="103"/>
      <c r="AB110" s="281"/>
      <c r="AC110" s="182"/>
      <c r="AD110" s="182"/>
    </row>
    <row r="111" spans="1:30" ht="22.5" x14ac:dyDescent="0.55000000000000004">
      <c r="A111" s="81"/>
      <c r="B111" s="212" t="s">
        <v>242</v>
      </c>
      <c r="C111" s="212"/>
      <c r="D111" s="168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111" s="81"/>
      <c r="F111" s="212" t="s">
        <v>243</v>
      </c>
      <c r="G111" s="84"/>
      <c r="H111" s="213"/>
      <c r="I111" s="155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1" s="182"/>
      <c r="K111" s="2347" t="s">
        <v>244</v>
      </c>
      <c r="L111" s="2348"/>
      <c r="M111" s="2349"/>
      <c r="N111" s="2336" t="str">
        <f>IF(AE27=0,"",AE27)</f>
        <v/>
      </c>
      <c r="O111" s="2337"/>
      <c r="P111" s="81"/>
      <c r="Q111" s="81"/>
      <c r="R111" s="80"/>
      <c r="S111" s="161"/>
      <c r="T111" s="2148"/>
      <c r="U111" s="2148"/>
      <c r="V111" s="2148"/>
      <c r="W111" s="2148"/>
      <c r="X111" s="2148"/>
      <c r="Y111" s="2148"/>
      <c r="Z111" s="163"/>
      <c r="AA111" s="103"/>
      <c r="AB111" s="281"/>
      <c r="AC111" s="182"/>
      <c r="AD111" s="182"/>
    </row>
    <row r="112" spans="1:30" ht="22.5" x14ac:dyDescent="0.55000000000000004">
      <c r="A112" s="81"/>
      <c r="B112" s="212" t="s">
        <v>245</v>
      </c>
      <c r="C112" s="212"/>
      <c r="D112" s="168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112" s="81"/>
      <c r="F112" s="212" t="s">
        <v>246</v>
      </c>
      <c r="G112" s="84"/>
      <c r="H112" s="213"/>
      <c r="I112" s="155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2" s="182"/>
      <c r="K112" s="2347" t="s">
        <v>247</v>
      </c>
      <c r="L112" s="2348"/>
      <c r="M112" s="2349"/>
      <c r="N112" s="2336" t="str">
        <f>IF(AE28=0,"",AE28)</f>
        <v/>
      </c>
      <c r="O112" s="2337"/>
      <c r="P112" s="81"/>
      <c r="Q112" s="81"/>
      <c r="R112" s="81"/>
      <c r="S112" s="161"/>
      <c r="T112" s="2148"/>
      <c r="U112" s="2148"/>
      <c r="V112" s="2148"/>
      <c r="W112" s="2148"/>
      <c r="X112" s="2148"/>
      <c r="Y112" s="2148"/>
      <c r="Z112" s="163"/>
      <c r="AA112" s="104"/>
      <c r="AB112" s="281"/>
      <c r="AC112" s="182"/>
      <c r="AD112" s="182"/>
    </row>
    <row r="113" spans="1:30" ht="22.5" x14ac:dyDescent="0.55000000000000004">
      <c r="A113" s="81"/>
      <c r="B113" s="212" t="s">
        <v>248</v>
      </c>
      <c r="C113" s="212"/>
      <c r="D113" s="168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113" s="81"/>
      <c r="F113" s="212" t="s">
        <v>249</v>
      </c>
      <c r="G113" s="84"/>
      <c r="H113" s="213"/>
      <c r="I113" s="155">
        <f>IF(C13="ผู้อำนวยการหน่วยงานวิสาหกิจ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113" s="182"/>
      <c r="K113" s="2347" t="s">
        <v>250</v>
      </c>
      <c r="L113" s="2348"/>
      <c r="M113" s="2349"/>
      <c r="N113" s="2336" t="str">
        <f>IF(AE29=0,"",AE29)</f>
        <v/>
      </c>
      <c r="O113" s="2337"/>
      <c r="P113" s="81"/>
      <c r="Q113" s="81"/>
      <c r="R113" s="81"/>
      <c r="S113" s="161"/>
      <c r="T113" s="231" t="s">
        <v>251</v>
      </c>
      <c r="U113" s="240"/>
      <c r="V113" s="240"/>
      <c r="W113" s="240"/>
      <c r="X113" s="240"/>
      <c r="Y113" s="240"/>
      <c r="Z113" s="163"/>
      <c r="AA113" s="104"/>
      <c r="AB113" s="281"/>
      <c r="AC113" s="182"/>
      <c r="AD113" s="182"/>
    </row>
    <row r="114" spans="1:30" ht="22.5" customHeight="1" x14ac:dyDescent="0.5">
      <c r="A114" s="81"/>
      <c r="B114" s="214" t="s">
        <v>252</v>
      </c>
      <c r="C114" s="214"/>
      <c r="D114" s="169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114" s="81"/>
      <c r="F114" s="214" t="s">
        <v>253</v>
      </c>
      <c r="G114" s="82"/>
      <c r="H114" s="215"/>
      <c r="I114" s="156">
        <f>IF(C13="ผู้อำนวยการหน่วยงานวิสาหกิจ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114" s="182"/>
      <c r="K114" s="214"/>
      <c r="L114" s="82"/>
      <c r="M114" s="82"/>
      <c r="N114" s="2334"/>
      <c r="O114" s="2335"/>
      <c r="P114" s="81"/>
      <c r="Q114" s="81"/>
      <c r="R114" s="81"/>
      <c r="S114" s="293"/>
      <c r="T114" s="2148" t="s">
        <v>254</v>
      </c>
      <c r="U114" s="2148"/>
      <c r="V114" s="2148"/>
      <c r="W114" s="2148"/>
      <c r="X114" s="2148"/>
      <c r="Y114" s="2148"/>
      <c r="Z114" s="294"/>
      <c r="AA114" s="104"/>
      <c r="AB114" s="281"/>
      <c r="AC114" s="182"/>
      <c r="AD114" s="182"/>
    </row>
    <row r="115" spans="1:30" ht="9" customHeight="1" x14ac:dyDescent="0.5">
      <c r="A115" s="81"/>
      <c r="B115" s="216"/>
      <c r="C115" s="81"/>
      <c r="D115" s="81"/>
      <c r="E115" s="81"/>
      <c r="F115" s="216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293"/>
      <c r="T115" s="2148"/>
      <c r="U115" s="2148"/>
      <c r="V115" s="2148"/>
      <c r="W115" s="2148"/>
      <c r="X115" s="2148"/>
      <c r="Y115" s="2148"/>
      <c r="Z115" s="294"/>
      <c r="AA115" s="104"/>
      <c r="AB115" s="281"/>
      <c r="AC115" s="182"/>
      <c r="AD115" s="182"/>
    </row>
    <row r="116" spans="1:30" ht="22.5" x14ac:dyDescent="0.55000000000000004">
      <c r="A116" s="92" t="s">
        <v>255</v>
      </c>
      <c r="B116" s="70"/>
      <c r="C116" s="70"/>
      <c r="D116" s="91"/>
      <c r="E116" s="91"/>
      <c r="F116" s="91"/>
      <c r="G116" s="91"/>
      <c r="H116" s="91"/>
      <c r="I116" s="91"/>
      <c r="J116" s="91"/>
      <c r="K116" s="91"/>
      <c r="L116" s="92"/>
      <c r="M116" s="92"/>
      <c r="N116" s="92"/>
      <c r="O116" s="92"/>
      <c r="P116" s="70"/>
      <c r="Q116" s="70"/>
      <c r="R116" s="81"/>
      <c r="S116" s="295"/>
      <c r="T116" s="2149"/>
      <c r="U116" s="2149"/>
      <c r="V116" s="2149"/>
      <c r="W116" s="2149"/>
      <c r="X116" s="2149"/>
      <c r="Y116" s="2149"/>
      <c r="Z116" s="296"/>
      <c r="AA116" s="104"/>
      <c r="AB116" s="278"/>
      <c r="AC116" s="279"/>
      <c r="AD116" s="279"/>
    </row>
    <row r="117" spans="1:30" ht="20.25" x14ac:dyDescent="0.5">
      <c r="A117" s="81"/>
      <c r="B117" s="2352" t="s">
        <v>256</v>
      </c>
      <c r="C117" s="2353"/>
      <c r="D117" s="2354"/>
      <c r="E117" s="2352" t="s">
        <v>257</v>
      </c>
      <c r="F117" s="2353"/>
      <c r="G117" s="2353"/>
      <c r="H117" s="2354"/>
      <c r="I117" s="2352" t="s">
        <v>258</v>
      </c>
      <c r="J117" s="2353"/>
      <c r="K117" s="2354"/>
      <c r="L117" s="2352" t="s">
        <v>259</v>
      </c>
      <c r="M117" s="2353"/>
      <c r="N117" s="2353"/>
      <c r="O117" s="2353"/>
      <c r="P117" s="2353"/>
      <c r="Q117" s="2354"/>
      <c r="R117" s="81"/>
      <c r="S117" s="141"/>
      <c r="T117" s="141"/>
      <c r="U117" s="141"/>
      <c r="V117" s="141"/>
      <c r="W117" s="141"/>
      <c r="X117" s="141"/>
      <c r="Y117" s="141"/>
      <c r="Z117" s="141"/>
      <c r="AA117" s="104"/>
      <c r="AB117" s="281"/>
      <c r="AC117" s="182"/>
      <c r="AD117" s="182"/>
    </row>
    <row r="118" spans="1:30" ht="22.5" x14ac:dyDescent="0.5">
      <c r="A118" s="81"/>
      <c r="B118" s="2338"/>
      <c r="C118" s="2339"/>
      <c r="D118" s="2340"/>
      <c r="E118" s="217"/>
      <c r="F118" s="218"/>
      <c r="G118" s="218"/>
      <c r="H118" s="219"/>
      <c r="I118" s="217"/>
      <c r="J118" s="218"/>
      <c r="K118" s="219"/>
      <c r="L118" s="2338" t="s">
        <v>260</v>
      </c>
      <c r="M118" s="2339"/>
      <c r="N118" s="2339"/>
      <c r="O118" s="2339"/>
      <c r="P118" s="2339"/>
      <c r="Q118" s="2340"/>
      <c r="R118" s="70"/>
      <c r="S118" s="153"/>
      <c r="T118" s="153"/>
      <c r="U118" s="153"/>
      <c r="V118" s="153"/>
      <c r="W118" s="153"/>
      <c r="X118" s="153"/>
      <c r="Y118" s="153"/>
      <c r="Z118" s="153"/>
      <c r="AA118" s="105"/>
      <c r="AB118" s="281"/>
      <c r="AC118" s="182"/>
      <c r="AD118" s="182"/>
    </row>
    <row r="119" spans="1:30" ht="20.25" x14ac:dyDescent="0.5">
      <c r="A119" s="81"/>
      <c r="B119" s="2361" t="s">
        <v>1265</v>
      </c>
      <c r="C119" s="2362"/>
      <c r="D119" s="2363"/>
      <c r="E119" s="2361" t="s">
        <v>1266</v>
      </c>
      <c r="F119" s="2362"/>
      <c r="G119" s="2362"/>
      <c r="H119" s="2363"/>
      <c r="I119" s="2361"/>
      <c r="J119" s="2362"/>
      <c r="K119" s="2363"/>
      <c r="L119" s="2361"/>
      <c r="M119" s="2362"/>
      <c r="N119" s="2362"/>
      <c r="O119" s="2362"/>
      <c r="P119" s="2362"/>
      <c r="Q119" s="2363"/>
      <c r="R119" s="81"/>
      <c r="S119" s="141"/>
      <c r="T119" s="141"/>
      <c r="U119" s="141"/>
      <c r="V119" s="141"/>
      <c r="W119" s="141"/>
      <c r="X119" s="141"/>
      <c r="Y119" s="141"/>
      <c r="Z119" s="141"/>
      <c r="AA119" s="104"/>
      <c r="AB119" s="281"/>
      <c r="AC119" s="182"/>
      <c r="AD119" s="182"/>
    </row>
    <row r="120" spans="1:30" ht="20.25" x14ac:dyDescent="0.5">
      <c r="A120" s="81"/>
      <c r="B120" s="2358" t="s">
        <v>1267</v>
      </c>
      <c r="C120" s="2359"/>
      <c r="D120" s="2360"/>
      <c r="E120" s="2358" t="s">
        <v>1268</v>
      </c>
      <c r="F120" s="2359"/>
      <c r="G120" s="2359"/>
      <c r="H120" s="2360"/>
      <c r="I120" s="2358"/>
      <c r="J120" s="2359"/>
      <c r="K120" s="2360"/>
      <c r="L120" s="2358"/>
      <c r="M120" s="2359"/>
      <c r="N120" s="2359"/>
      <c r="O120" s="2359"/>
      <c r="P120" s="2359"/>
      <c r="Q120" s="2360"/>
      <c r="R120" s="81"/>
      <c r="S120" s="141"/>
      <c r="T120" s="141"/>
      <c r="U120" s="141"/>
      <c r="V120" s="141"/>
      <c r="W120" s="141"/>
      <c r="X120" s="141"/>
      <c r="Y120" s="141"/>
      <c r="Z120" s="141"/>
      <c r="AA120" s="104"/>
      <c r="AB120" s="281"/>
      <c r="AC120" s="182"/>
      <c r="AD120" s="182"/>
    </row>
    <row r="121" spans="1:30" ht="20.25" x14ac:dyDescent="0.5">
      <c r="A121" s="81"/>
      <c r="B121" s="2355" t="s">
        <v>1269</v>
      </c>
      <c r="C121" s="2356"/>
      <c r="D121" s="2357"/>
      <c r="E121" s="2355" t="s">
        <v>1270</v>
      </c>
      <c r="F121" s="2356"/>
      <c r="G121" s="2356"/>
      <c r="H121" s="2357"/>
      <c r="I121" s="2355"/>
      <c r="J121" s="2356"/>
      <c r="K121" s="2357"/>
      <c r="L121" s="2355"/>
      <c r="M121" s="2356"/>
      <c r="N121" s="2356"/>
      <c r="O121" s="2356"/>
      <c r="P121" s="2356"/>
      <c r="Q121" s="2357"/>
      <c r="R121" s="81"/>
      <c r="S121" s="141"/>
      <c r="T121" s="141"/>
      <c r="U121" s="141"/>
      <c r="V121" s="141"/>
      <c r="W121" s="141"/>
      <c r="X121" s="141"/>
      <c r="Y121" s="141"/>
      <c r="Z121" s="141"/>
      <c r="AA121" s="104"/>
      <c r="AB121" s="281"/>
      <c r="AC121" s="182"/>
      <c r="AD121" s="182"/>
    </row>
    <row r="122" spans="1:30" ht="64.5" customHeight="1" x14ac:dyDescent="0.6">
      <c r="A122" s="62"/>
      <c r="B122" s="2150" t="s">
        <v>390</v>
      </c>
      <c r="C122" s="2150"/>
      <c r="D122" s="2150"/>
      <c r="E122" s="2150"/>
      <c r="F122" s="2150"/>
      <c r="G122" s="2150"/>
      <c r="H122" s="2150"/>
      <c r="I122" s="2150"/>
      <c r="J122" s="2150"/>
      <c r="K122" s="2150"/>
      <c r="L122" s="2150"/>
      <c r="M122" s="2150"/>
      <c r="N122" s="2150"/>
      <c r="O122" s="2150"/>
      <c r="P122" s="2150"/>
      <c r="Q122" s="2150"/>
      <c r="R122" s="81"/>
      <c r="S122" s="141"/>
      <c r="T122" s="141"/>
      <c r="U122" s="141"/>
      <c r="V122" s="141"/>
      <c r="W122" s="141"/>
      <c r="X122" s="141"/>
      <c r="Y122" s="141"/>
      <c r="Z122" s="141"/>
      <c r="AA122" s="104"/>
      <c r="AB122" s="102"/>
      <c r="AC122" s="65"/>
      <c r="AD122" s="65"/>
    </row>
    <row r="123" spans="1:30" ht="14.25" customHeight="1" x14ac:dyDescent="0.2">
      <c r="A123" s="61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282"/>
      <c r="AC123" s="282"/>
      <c r="AD123" s="282"/>
    </row>
    <row r="124" spans="1:30" ht="22.5" x14ac:dyDescent="0.55000000000000004">
      <c r="A124" s="92" t="s">
        <v>261</v>
      </c>
      <c r="B124" s="61"/>
      <c r="C124" s="61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282"/>
      <c r="AC124" s="282"/>
      <c r="AD124" s="282"/>
    </row>
    <row r="125" spans="1:30" ht="22.5" x14ac:dyDescent="0.55000000000000004">
      <c r="A125" s="92"/>
      <c r="B125" s="220"/>
      <c r="C125" s="61"/>
      <c r="D125" s="170" t="s">
        <v>262</v>
      </c>
      <c r="E125" s="92"/>
      <c r="F125" s="72" t="s">
        <v>263</v>
      </c>
      <c r="G125" s="92"/>
      <c r="H125" s="92"/>
      <c r="I125" s="92"/>
      <c r="J125" s="92"/>
      <c r="K125" s="92"/>
      <c r="L125" s="92"/>
      <c r="M125" s="92"/>
      <c r="N125" s="92"/>
      <c r="O125" s="92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282"/>
      <c r="AC125" s="282"/>
      <c r="AD125" s="282"/>
    </row>
    <row r="126" spans="1:30" ht="22.5" x14ac:dyDescent="0.55000000000000004">
      <c r="A126" s="92"/>
      <c r="B126" s="61"/>
      <c r="C126" s="61"/>
      <c r="D126" s="92"/>
      <c r="E126" s="92"/>
      <c r="F126" s="2346" t="s">
        <v>264</v>
      </c>
      <c r="G126" s="2346"/>
      <c r="H126" s="2346"/>
      <c r="I126" s="2346"/>
      <c r="J126" s="2346"/>
      <c r="K126" s="2346"/>
      <c r="L126" s="2346"/>
      <c r="M126" s="2346"/>
      <c r="N126" s="2346"/>
      <c r="O126" s="2346"/>
      <c r="P126" s="2346"/>
      <c r="Q126" s="2346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282"/>
      <c r="AC126" s="282"/>
      <c r="AD126" s="282"/>
    </row>
    <row r="127" spans="1:30" ht="22.5" x14ac:dyDescent="0.55000000000000004">
      <c r="A127" s="92"/>
      <c r="B127" s="61"/>
      <c r="C127" s="61"/>
      <c r="D127" s="92"/>
      <c r="E127" s="92"/>
      <c r="F127" s="2345" t="s">
        <v>265</v>
      </c>
      <c r="G127" s="2345"/>
      <c r="H127" s="2345"/>
      <c r="I127" s="2345"/>
      <c r="J127" s="2345"/>
      <c r="K127" s="2345"/>
      <c r="L127" s="2345"/>
      <c r="M127" s="2345"/>
      <c r="N127" s="2345"/>
      <c r="O127" s="2345"/>
      <c r="P127" s="2345"/>
      <c r="Q127" s="2345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</row>
    <row r="128" spans="1:30" ht="18" x14ac:dyDescent="0.45">
      <c r="A128" s="61"/>
      <c r="B128" s="61"/>
      <c r="C128" s="61"/>
      <c r="D128" s="61"/>
      <c r="E128" s="61"/>
      <c r="F128" s="172" t="s">
        <v>266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</row>
    <row r="129" spans="5:15" ht="18" x14ac:dyDescent="0.45">
      <c r="E129" s="172"/>
      <c r="F129" s="172" t="s">
        <v>267</v>
      </c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5:15" x14ac:dyDescent="0.2"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5:15" ht="22.5" x14ac:dyDescent="0.55000000000000004">
      <c r="E131" s="61"/>
      <c r="F131" s="61"/>
      <c r="G131" s="61"/>
      <c r="H131" s="76" t="s">
        <v>268</v>
      </c>
      <c r="I131" s="86" t="s">
        <v>269</v>
      </c>
      <c r="J131" s="86"/>
      <c r="K131" s="86"/>
      <c r="L131" s="63"/>
      <c r="M131" s="63" t="s">
        <v>270</v>
      </c>
      <c r="N131" s="63"/>
      <c r="O131" s="63"/>
    </row>
    <row r="132" spans="5:15" ht="22.5" x14ac:dyDescent="0.55000000000000004">
      <c r="E132" s="61"/>
      <c r="F132" s="61"/>
      <c r="G132" s="61"/>
      <c r="H132" s="63"/>
      <c r="I132" s="2344" t="str">
        <f>"("&amp;C9&amp;")"</f>
        <v>(อ.ดร. จุฑามาศ อาจนาเสียว)</v>
      </c>
      <c r="J132" s="2344"/>
      <c r="K132" s="2344"/>
      <c r="L132" s="2344"/>
      <c r="M132" s="63"/>
      <c r="N132" s="63"/>
      <c r="O132" s="63"/>
    </row>
    <row r="133" spans="5:15" ht="22.5" x14ac:dyDescent="0.55000000000000004">
      <c r="E133" s="61"/>
      <c r="F133" s="61"/>
      <c r="G133" s="61"/>
      <c r="H133" s="63"/>
      <c r="I133" s="2344" t="s">
        <v>271</v>
      </c>
      <c r="J133" s="2344"/>
      <c r="K133" s="2344"/>
      <c r="L133" s="2344"/>
      <c r="M133" s="63"/>
      <c r="N133" s="63"/>
      <c r="O133" s="63"/>
    </row>
    <row r="134" spans="5:15" ht="22.5" x14ac:dyDescent="0.55000000000000004">
      <c r="E134" s="61"/>
      <c r="F134" s="61"/>
      <c r="G134" s="61"/>
      <c r="H134" s="63"/>
      <c r="I134" s="176"/>
      <c r="J134" s="176"/>
      <c r="K134" s="176"/>
      <c r="L134" s="63"/>
      <c r="M134" s="63"/>
      <c r="N134" s="63"/>
      <c r="O134" s="63"/>
    </row>
    <row r="135" spans="5:15" ht="22.5" x14ac:dyDescent="0.55000000000000004">
      <c r="E135" s="61"/>
      <c r="F135" s="61"/>
      <c r="G135" s="61"/>
      <c r="H135" s="76" t="s">
        <v>268</v>
      </c>
      <c r="I135" s="86" t="s">
        <v>269</v>
      </c>
      <c r="J135" s="86"/>
      <c r="K135" s="86"/>
      <c r="L135" s="63"/>
      <c r="M135" s="63" t="s">
        <v>272</v>
      </c>
      <c r="N135" s="63"/>
      <c r="O135" s="63"/>
    </row>
    <row r="136" spans="5:15" ht="22.5" x14ac:dyDescent="0.55000000000000004">
      <c r="E136" s="61"/>
      <c r="F136" s="61"/>
      <c r="G136" s="61"/>
      <c r="H136" s="63"/>
      <c r="I136" s="2333" t="s">
        <v>1271</v>
      </c>
      <c r="J136" s="2333"/>
      <c r="K136" s="2333"/>
      <c r="L136" s="2333"/>
      <c r="M136" s="63"/>
      <c r="N136" s="63"/>
      <c r="O136" s="63"/>
    </row>
    <row r="137" spans="5:15" ht="22.5" x14ac:dyDescent="0.55000000000000004">
      <c r="E137" s="61"/>
      <c r="F137" s="61"/>
      <c r="G137" s="61"/>
      <c r="H137" s="76" t="s">
        <v>117</v>
      </c>
      <c r="I137" s="2333" t="s">
        <v>273</v>
      </c>
      <c r="J137" s="2333"/>
      <c r="K137" s="2333"/>
      <c r="L137" s="2333"/>
      <c r="M137" s="63"/>
      <c r="N137" s="63"/>
      <c r="O137" s="63"/>
    </row>
    <row r="138" spans="5:15" ht="22.5" x14ac:dyDescent="0.55000000000000004">
      <c r="E138" s="61"/>
      <c r="F138" s="61"/>
      <c r="G138" s="61"/>
      <c r="H138" s="63"/>
      <c r="I138" s="86" t="s">
        <v>274</v>
      </c>
      <c r="J138" s="86"/>
      <c r="K138" s="86"/>
      <c r="L138" s="63"/>
      <c r="M138" s="63"/>
      <c r="N138" s="63"/>
      <c r="O138" s="63"/>
    </row>
    <row r="139" spans="5:15" ht="24.75" x14ac:dyDescent="0.6">
      <c r="E139" s="61"/>
      <c r="F139" s="61"/>
      <c r="G139" s="61"/>
      <c r="H139" s="61"/>
      <c r="I139" s="89"/>
      <c r="J139" s="89"/>
      <c r="K139" s="89"/>
      <c r="L139" s="61"/>
      <c r="M139" s="61"/>
      <c r="N139" s="61"/>
      <c r="O139" s="61"/>
    </row>
    <row r="140" spans="5:15" ht="22.5" x14ac:dyDescent="0.55000000000000004">
      <c r="E140" s="61"/>
      <c r="F140" s="61"/>
      <c r="G140" s="61"/>
      <c r="H140" s="76" t="s">
        <v>268</v>
      </c>
      <c r="I140" s="86" t="s">
        <v>269</v>
      </c>
      <c r="J140" s="86"/>
      <c r="K140" s="86"/>
      <c r="L140" s="63"/>
      <c r="M140" s="63" t="s">
        <v>275</v>
      </c>
      <c r="N140" s="63"/>
      <c r="O140" s="63"/>
    </row>
    <row r="141" spans="5:15" ht="22.5" x14ac:dyDescent="0.55000000000000004">
      <c r="E141" s="61"/>
      <c r="F141" s="61"/>
      <c r="G141" s="61"/>
      <c r="H141" s="63"/>
      <c r="I141" s="2333" t="s">
        <v>1272</v>
      </c>
      <c r="J141" s="2333"/>
      <c r="K141" s="2333"/>
      <c r="L141" s="2333"/>
      <c r="M141" s="63"/>
      <c r="N141" s="63"/>
      <c r="O141" s="63"/>
    </row>
    <row r="142" spans="5:15" ht="22.5" x14ac:dyDescent="0.55000000000000004">
      <c r="E142" s="61"/>
      <c r="F142" s="61"/>
      <c r="G142" s="61"/>
      <c r="H142" s="76" t="s">
        <v>117</v>
      </c>
      <c r="I142" s="2333" t="s">
        <v>273</v>
      </c>
      <c r="J142" s="2333"/>
      <c r="K142" s="2333"/>
      <c r="L142" s="2333"/>
      <c r="M142" s="63"/>
      <c r="N142" s="63"/>
      <c r="O142" s="63"/>
    </row>
    <row r="143" spans="5:15" ht="22.5" x14ac:dyDescent="0.55000000000000004">
      <c r="E143" s="61"/>
      <c r="F143" s="61"/>
      <c r="G143" s="61"/>
      <c r="H143" s="63"/>
      <c r="I143" s="86" t="s">
        <v>274</v>
      </c>
      <c r="J143" s="86"/>
      <c r="K143" s="86"/>
      <c r="L143" s="63"/>
      <c r="M143" s="63"/>
      <c r="N143" s="63"/>
      <c r="O143" s="63"/>
    </row>
  </sheetData>
  <sheetProtection password="DC56" sheet="1" objects="1" scenarios="1" formatCells="0" formatColumns="0" formatRows="0" insertColumns="0" insertRows="0" insertHyperlinks="0"/>
  <mergeCells count="322">
    <mergeCell ref="A95:Q95"/>
    <mergeCell ref="I82:J82"/>
    <mergeCell ref="B82:C82"/>
    <mergeCell ref="D87:H88"/>
    <mergeCell ref="P103:Q103"/>
    <mergeCell ref="A96:C97"/>
    <mergeCell ref="I98:J99"/>
    <mergeCell ref="D103:H103"/>
    <mergeCell ref="P98:Q99"/>
    <mergeCell ref="O98:O99"/>
    <mergeCell ref="N98:N99"/>
    <mergeCell ref="P84:Q84"/>
    <mergeCell ref="P83:Q83"/>
    <mergeCell ref="T79:Y79"/>
    <mergeCell ref="S78:Z78"/>
    <mergeCell ref="J14:P14"/>
    <mergeCell ref="J13:P13"/>
    <mergeCell ref="I64:J64"/>
    <mergeCell ref="I63:J63"/>
    <mergeCell ref="I62:J62"/>
    <mergeCell ref="D89:H89"/>
    <mergeCell ref="D90:H90"/>
    <mergeCell ref="I85:J85"/>
    <mergeCell ref="D85:H85"/>
    <mergeCell ref="I83:J83"/>
    <mergeCell ref="D62:H62"/>
    <mergeCell ref="D63:H63"/>
    <mergeCell ref="D64:H64"/>
    <mergeCell ref="D65:H65"/>
    <mergeCell ref="A86:Q86"/>
    <mergeCell ref="B85:C85"/>
    <mergeCell ref="A89:C94"/>
    <mergeCell ref="P88:Q88"/>
    <mergeCell ref="I79:J79"/>
    <mergeCell ref="A87:C88"/>
    <mergeCell ref="I84:J84"/>
    <mergeCell ref="L87:Q87"/>
    <mergeCell ref="D71:H71"/>
    <mergeCell ref="P79:Q79"/>
    <mergeCell ref="P89:Q89"/>
    <mergeCell ref="K71:K72"/>
    <mergeCell ref="L71:Q71"/>
    <mergeCell ref="A71:A72"/>
    <mergeCell ref="B83:C83"/>
    <mergeCell ref="AB48:AB49"/>
    <mergeCell ref="AD48:AD49"/>
    <mergeCell ref="AB71:AB72"/>
    <mergeCell ref="L60:Q60"/>
    <mergeCell ref="L59:Q59"/>
    <mergeCell ref="AD52:AD53"/>
    <mergeCell ref="T53:Y53"/>
    <mergeCell ref="S51:Z51"/>
    <mergeCell ref="L57:Q57"/>
    <mergeCell ref="L56:Q56"/>
    <mergeCell ref="L52:Q52"/>
    <mergeCell ref="L50:Q50"/>
    <mergeCell ref="L54:Q55"/>
    <mergeCell ref="L48:Q48"/>
    <mergeCell ref="P58:Q58"/>
    <mergeCell ref="P69:Q69"/>
    <mergeCell ref="T49:Y49"/>
    <mergeCell ref="T48:Y48"/>
    <mergeCell ref="AD62:AD66"/>
    <mergeCell ref="T57:Y57"/>
    <mergeCell ref="L70:Q70"/>
    <mergeCell ref="D72:H72"/>
    <mergeCell ref="A75:Q75"/>
    <mergeCell ref="K76:K77"/>
    <mergeCell ref="D70:H70"/>
    <mergeCell ref="P77:Q77"/>
    <mergeCell ref="L76:Q76"/>
    <mergeCell ref="AD50:AD51"/>
    <mergeCell ref="AD71:AD72"/>
    <mergeCell ref="AB50:AB51"/>
    <mergeCell ref="AB52:AB53"/>
    <mergeCell ref="T52:Y52"/>
    <mergeCell ref="K60:K61"/>
    <mergeCell ref="I53:J53"/>
    <mergeCell ref="B56:C56"/>
    <mergeCell ref="D56:H56"/>
    <mergeCell ref="D57:H57"/>
    <mergeCell ref="D54:H55"/>
    <mergeCell ref="D53:H53"/>
    <mergeCell ref="A54:C55"/>
    <mergeCell ref="B57:C57"/>
    <mergeCell ref="S108:Z108"/>
    <mergeCell ref="T110:Y112"/>
    <mergeCell ref="P82:Q82"/>
    <mergeCell ref="D79:H79"/>
    <mergeCell ref="I78:J78"/>
    <mergeCell ref="N109:O109"/>
    <mergeCell ref="D101:H102"/>
    <mergeCell ref="I101:J102"/>
    <mergeCell ref="K101:K102"/>
    <mergeCell ref="P97:Q97"/>
    <mergeCell ref="I87:J88"/>
    <mergeCell ref="K87:K88"/>
    <mergeCell ref="P85:Q85"/>
    <mergeCell ref="L101:Q101"/>
    <mergeCell ref="P102:Q102"/>
    <mergeCell ref="D91:H91"/>
    <mergeCell ref="D93:H93"/>
    <mergeCell ref="I89:J94"/>
    <mergeCell ref="F108:I108"/>
    <mergeCell ref="F109:H109"/>
    <mergeCell ref="D92:H92"/>
    <mergeCell ref="P78:Q78"/>
    <mergeCell ref="M98:M99"/>
    <mergeCell ref="L98:L99"/>
    <mergeCell ref="B109:C109"/>
    <mergeCell ref="B108:D108"/>
    <mergeCell ref="D96:H97"/>
    <mergeCell ref="K108:O108"/>
    <mergeCell ref="I103:J103"/>
    <mergeCell ref="A100:Q100"/>
    <mergeCell ref="K96:K97"/>
    <mergeCell ref="I96:J97"/>
    <mergeCell ref="B104:C104"/>
    <mergeCell ref="B105:C105"/>
    <mergeCell ref="D104:H104"/>
    <mergeCell ref="D105:H105"/>
    <mergeCell ref="D98:H98"/>
    <mergeCell ref="D99:H99"/>
    <mergeCell ref="A101:C102"/>
    <mergeCell ref="L96:Q96"/>
    <mergeCell ref="B103:C103"/>
    <mergeCell ref="A99:C99"/>
    <mergeCell ref="A98:C98"/>
    <mergeCell ref="P104:Q104"/>
    <mergeCell ref="P105:Q105"/>
    <mergeCell ref="K98:K99"/>
    <mergeCell ref="I105:J105"/>
    <mergeCell ref="I104:J104"/>
    <mergeCell ref="B117:D117"/>
    <mergeCell ref="B118:D118"/>
    <mergeCell ref="L117:Q117"/>
    <mergeCell ref="L118:Q118"/>
    <mergeCell ref="E117:H117"/>
    <mergeCell ref="I117:K117"/>
    <mergeCell ref="B121:D121"/>
    <mergeCell ref="B120:D120"/>
    <mergeCell ref="B119:D119"/>
    <mergeCell ref="L121:Q121"/>
    <mergeCell ref="L120:Q120"/>
    <mergeCell ref="L119:Q119"/>
    <mergeCell ref="E119:H119"/>
    <mergeCell ref="E121:H121"/>
    <mergeCell ref="E120:H120"/>
    <mergeCell ref="I121:K121"/>
    <mergeCell ref="I120:K120"/>
    <mergeCell ref="I119:K119"/>
    <mergeCell ref="I141:L141"/>
    <mergeCell ref="N114:O114"/>
    <mergeCell ref="N113:O113"/>
    <mergeCell ref="N112:O112"/>
    <mergeCell ref="N111:O111"/>
    <mergeCell ref="K109:M109"/>
    <mergeCell ref="K110:M110"/>
    <mergeCell ref="I142:L142"/>
    <mergeCell ref="I132:L132"/>
    <mergeCell ref="I133:L133"/>
    <mergeCell ref="I137:L137"/>
    <mergeCell ref="F127:Q127"/>
    <mergeCell ref="F126:Q126"/>
    <mergeCell ref="K113:M113"/>
    <mergeCell ref="I136:L136"/>
    <mergeCell ref="K111:M111"/>
    <mergeCell ref="K112:M112"/>
    <mergeCell ref="N110:O110"/>
    <mergeCell ref="A5:Q5"/>
    <mergeCell ref="B21:Q21"/>
    <mergeCell ref="B22:Q22"/>
    <mergeCell ref="B23:P23"/>
    <mergeCell ref="D37:H38"/>
    <mergeCell ref="L37:Q37"/>
    <mergeCell ref="A37:C38"/>
    <mergeCell ref="I37:J38"/>
    <mergeCell ref="K37:K38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B33:C33"/>
    <mergeCell ref="D33:H33"/>
    <mergeCell ref="A6:Q6"/>
    <mergeCell ref="L31:Q31"/>
    <mergeCell ref="L32:Q32"/>
    <mergeCell ref="C17:G17"/>
    <mergeCell ref="S28:Z28"/>
    <mergeCell ref="A29:C30"/>
    <mergeCell ref="D29:H30"/>
    <mergeCell ref="I29:J30"/>
    <mergeCell ref="K29:K30"/>
    <mergeCell ref="L29:Q29"/>
    <mergeCell ref="B31:C31"/>
    <mergeCell ref="D31:H31"/>
    <mergeCell ref="I31:J31"/>
    <mergeCell ref="O47:Q47"/>
    <mergeCell ref="I45:J46"/>
    <mergeCell ref="A50:A51"/>
    <mergeCell ref="I52:J52"/>
    <mergeCell ref="A52:A53"/>
    <mergeCell ref="B53:C53"/>
    <mergeCell ref="K52:K53"/>
    <mergeCell ref="D49:H49"/>
    <mergeCell ref="K50:K51"/>
    <mergeCell ref="A48:A49"/>
    <mergeCell ref="B49:C49"/>
    <mergeCell ref="I49:J49"/>
    <mergeCell ref="K48:K49"/>
    <mergeCell ref="B51:C51"/>
    <mergeCell ref="D52:H52"/>
    <mergeCell ref="B52:C52"/>
    <mergeCell ref="I51:J51"/>
    <mergeCell ref="D45:H46"/>
    <mergeCell ref="K45:K46"/>
    <mergeCell ref="I50:J50"/>
    <mergeCell ref="B50:C50"/>
    <mergeCell ref="D50:H50"/>
    <mergeCell ref="L45:Q46"/>
    <mergeCell ref="B48:C48"/>
    <mergeCell ref="K54:K55"/>
    <mergeCell ref="I59:J59"/>
    <mergeCell ref="I54:J55"/>
    <mergeCell ref="I56:J56"/>
    <mergeCell ref="B59:C59"/>
    <mergeCell ref="D59:H59"/>
    <mergeCell ref="I58:J58"/>
    <mergeCell ref="I57:J57"/>
    <mergeCell ref="D60:H60"/>
    <mergeCell ref="AQ20:AR20"/>
    <mergeCell ref="AQ22:AR22"/>
    <mergeCell ref="D94:H94"/>
    <mergeCell ref="B84:C84"/>
    <mergeCell ref="I71:J71"/>
    <mergeCell ref="I70:J70"/>
    <mergeCell ref="I72:J72"/>
    <mergeCell ref="I73:J73"/>
    <mergeCell ref="I74:J74"/>
    <mergeCell ref="B70:C70"/>
    <mergeCell ref="D84:H84"/>
    <mergeCell ref="D83:H83"/>
    <mergeCell ref="B71:C71"/>
    <mergeCell ref="B79:C79"/>
    <mergeCell ref="L73:Q74"/>
    <mergeCell ref="I60:J60"/>
    <mergeCell ref="I61:J61"/>
    <mergeCell ref="B60:C60"/>
    <mergeCell ref="D61:H61"/>
    <mergeCell ref="D66:H66"/>
    <mergeCell ref="I66:J66"/>
    <mergeCell ref="I65:J65"/>
    <mergeCell ref="B78:C78"/>
    <mergeCell ref="I76:J77"/>
    <mergeCell ref="AB20:AC20"/>
    <mergeCell ref="AD20:AE20"/>
    <mergeCell ref="AF20:AG20"/>
    <mergeCell ref="AB22:AC22"/>
    <mergeCell ref="AD22:AE22"/>
    <mergeCell ref="AF22:AG22"/>
    <mergeCell ref="AK20:AO20"/>
    <mergeCell ref="AK22:AO22"/>
    <mergeCell ref="B44:Q44"/>
    <mergeCell ref="D40:H40"/>
    <mergeCell ref="T39:Y39"/>
    <mergeCell ref="T41:Y41"/>
    <mergeCell ref="S37:Z37"/>
    <mergeCell ref="T33:Y33"/>
    <mergeCell ref="D34:J34"/>
    <mergeCell ref="A35:Q35"/>
    <mergeCell ref="B36:Q36"/>
    <mergeCell ref="B34:C34"/>
    <mergeCell ref="I33:J33"/>
    <mergeCell ref="D41:H41"/>
    <mergeCell ref="I41:J41"/>
    <mergeCell ref="I40:J40"/>
    <mergeCell ref="I39:J39"/>
    <mergeCell ref="T40:Z40"/>
    <mergeCell ref="T45:Y45"/>
    <mergeCell ref="A45:C46"/>
    <mergeCell ref="D42:H42"/>
    <mergeCell ref="B39:C39"/>
    <mergeCell ref="B40:C40"/>
    <mergeCell ref="B41:C41"/>
    <mergeCell ref="I43:J43"/>
    <mergeCell ref="B32:C32"/>
    <mergeCell ref="D32:H32"/>
    <mergeCell ref="I32:J32"/>
    <mergeCell ref="B42:C42"/>
    <mergeCell ref="D39:H39"/>
    <mergeCell ref="L33:Q33"/>
    <mergeCell ref="L34:Q34"/>
    <mergeCell ref="T114:Y116"/>
    <mergeCell ref="B122:Q122"/>
    <mergeCell ref="T30:Y31"/>
    <mergeCell ref="A67:C68"/>
    <mergeCell ref="D67:H68"/>
    <mergeCell ref="I67:J68"/>
    <mergeCell ref="K67:K68"/>
    <mergeCell ref="L67:Q68"/>
    <mergeCell ref="A80:C81"/>
    <mergeCell ref="D80:H81"/>
    <mergeCell ref="I80:J81"/>
    <mergeCell ref="K80:K81"/>
    <mergeCell ref="L80:Q80"/>
    <mergeCell ref="P81:Q81"/>
    <mergeCell ref="I42:J42"/>
    <mergeCell ref="L43:Q43"/>
    <mergeCell ref="I69:J69"/>
    <mergeCell ref="B72:C72"/>
    <mergeCell ref="A76:C77"/>
    <mergeCell ref="D76:H77"/>
    <mergeCell ref="T47:Y47"/>
    <mergeCell ref="D48:H48"/>
    <mergeCell ref="I47:J47"/>
    <mergeCell ref="I48:J48"/>
  </mergeCells>
  <conditionalFormatting sqref="I43:Q43">
    <cfRule type="cellIs" dxfId="37" priority="14" operator="lessThan">
      <formula>$AD$11</formula>
    </cfRule>
  </conditionalFormatting>
  <conditionalFormatting sqref="L43:Q43">
    <cfRule type="expression" dxfId="36" priority="6">
      <formula>($I$43&gt;$AD$11)</formula>
    </cfRule>
    <cfRule type="expression" dxfId="35" priority="9">
      <formula>($I$43=$AD$11)</formula>
    </cfRule>
    <cfRule type="expression" dxfId="34" priority="13">
      <formula>($I$43&lt;$AD$11)</formula>
    </cfRule>
  </conditionalFormatting>
  <conditionalFormatting sqref="I43:K43">
    <cfRule type="cellIs" dxfId="33" priority="12" operator="equal">
      <formula>$AD$11</formula>
    </cfRule>
  </conditionalFormatting>
  <conditionalFormatting sqref="K43">
    <cfRule type="cellIs" dxfId="32" priority="7" operator="greaterThan">
      <formula>$AF$15</formula>
    </cfRule>
    <cfRule type="cellIs" dxfId="31" priority="10" operator="equal">
      <formula>$AF$15</formula>
    </cfRule>
    <cfRule type="cellIs" dxfId="30" priority="11" operator="lessThan">
      <formula>$AF$15</formula>
    </cfRule>
  </conditionalFormatting>
  <conditionalFormatting sqref="I43:J43">
    <cfRule type="cellIs" dxfId="29" priority="8" operator="greaterThan">
      <formula>$AD$11</formula>
    </cfRule>
  </conditionalFormatting>
  <conditionalFormatting sqref="I73:K73">
    <cfRule type="expression" dxfId="28" priority="5">
      <formula>($C$13="ไม่มี")</formula>
    </cfRule>
  </conditionalFormatting>
  <conditionalFormatting sqref="I74:K74">
    <cfRule type="expression" dxfId="27" priority="3">
      <formula>($I$74&lt;&gt;"")</formula>
    </cfRule>
  </conditionalFormatting>
  <dataValidations count="8">
    <dataValidation type="list" allowBlank="1" showInputMessage="1" showErrorMessage="1" sqref="J11:P11">
      <formula1>FactList</formula1>
    </dataValidation>
    <dataValidation type="list" allowBlank="1" showInputMessage="1" showErrorMessage="1" sqref="J9:P9">
      <formula1>PersonType</formula1>
    </dataValidation>
    <dataValidation type="list" allowBlank="1" showInputMessage="1" showErrorMessage="1" sqref="C11:G11">
      <formula1>PositionList</formula1>
    </dataValidation>
    <dataValidation type="list" allowBlank="1" showInputMessage="1" showErrorMessage="1" sqref="C13:G13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2:J42">
      <formula1>SUM(I39:J42)&lt;=AD11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&amp;C&amp;9APS v.4.3 พนักงานมหาวิทยาลัย</oddFooter>
  </headerFooter>
  <rowBreaks count="2" manualBreakCount="2">
    <brk id="53" max="16" man="1"/>
    <brk id="66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257175</xdr:rowOff>
                  </from>
                  <to>
                    <xdr:col>8</xdr:col>
                    <xdr:colOff>609600</xdr:colOff>
                    <xdr:row>47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228600</xdr:rowOff>
                  </from>
                  <to>
                    <xdr:col>8</xdr:col>
                    <xdr:colOff>609600</xdr:colOff>
                    <xdr:row>48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361950</xdr:rowOff>
                  </from>
                  <to>
                    <xdr:col>8</xdr:col>
                    <xdr:colOff>609600</xdr:colOff>
                    <xdr:row>49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0</xdr:rowOff>
                  </from>
                  <to>
                    <xdr:col>8</xdr:col>
                    <xdr:colOff>609600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257175</xdr:rowOff>
                  </from>
                  <to>
                    <xdr:col>8</xdr:col>
                    <xdr:colOff>609600</xdr:colOff>
                    <xdr:row>51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361950</xdr:rowOff>
                  </from>
                  <to>
                    <xdr:col>8</xdr:col>
                    <xdr:colOff>609600</xdr:colOff>
                    <xdr:row>52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55</xdr:row>
                    <xdr:rowOff>742950</xdr:rowOff>
                  </from>
                  <to>
                    <xdr:col>8</xdr:col>
                    <xdr:colOff>609600</xdr:colOff>
                    <xdr:row>55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56</xdr:row>
                    <xdr:rowOff>447675</xdr:rowOff>
                  </from>
                  <to>
                    <xdr:col>8</xdr:col>
                    <xdr:colOff>609600</xdr:colOff>
                    <xdr:row>56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69</xdr:row>
                    <xdr:rowOff>361950</xdr:rowOff>
                  </from>
                  <to>
                    <xdr:col>8</xdr:col>
                    <xdr:colOff>609600</xdr:colOff>
                    <xdr:row>69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228600</xdr:rowOff>
                  </from>
                  <to>
                    <xdr:col>8</xdr:col>
                    <xdr:colOff>609600</xdr:colOff>
                    <xdr:row>70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71</xdr:row>
                    <xdr:rowOff>238125</xdr:rowOff>
                  </from>
                  <to>
                    <xdr:col>8</xdr:col>
                    <xdr:colOff>609600</xdr:colOff>
                    <xdr:row>71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58</xdr:row>
                    <xdr:rowOff>0</xdr:rowOff>
                  </from>
                  <to>
                    <xdr:col>8</xdr:col>
                    <xdr:colOff>600075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124</xdr:row>
                    <xdr:rowOff>0</xdr:rowOff>
                  </from>
                  <to>
                    <xdr:col>5</xdr:col>
                    <xdr:colOff>390525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125</xdr:row>
                    <xdr:rowOff>9525</xdr:rowOff>
                  </from>
                  <to>
                    <xdr:col>5</xdr:col>
                    <xdr:colOff>390525</xdr:colOff>
                    <xdr:row>125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</sheetPr>
  <dimension ref="A1:AK302"/>
  <sheetViews>
    <sheetView showGridLines="0" tabSelected="1" topLeftCell="A10" zoomScale="90" zoomScaleNormal="90" zoomScaleSheetLayoutView="100" workbookViewId="0">
      <selection activeCell="D65" sqref="D65"/>
    </sheetView>
  </sheetViews>
  <sheetFormatPr defaultColWidth="9" defaultRowHeight="24.75" x14ac:dyDescent="0.6"/>
  <cols>
    <col min="1" max="1" width="3.375" style="298" customWidth="1"/>
    <col min="2" max="2" width="12.75" style="298" customWidth="1"/>
    <col min="3" max="3" width="22" style="298" customWidth="1"/>
    <col min="4" max="4" width="10.125" style="298" customWidth="1"/>
    <col min="5" max="5" width="8.875" style="298" customWidth="1"/>
    <col min="6" max="6" width="8.375" style="298" customWidth="1"/>
    <col min="7" max="7" width="9.375" style="298" customWidth="1"/>
    <col min="8" max="8" width="14.625" style="298" customWidth="1"/>
    <col min="9" max="9" width="10.875" style="298" customWidth="1"/>
    <col min="10" max="11" width="10.125" style="298" customWidth="1"/>
    <col min="12" max="12" width="11.125" style="298" customWidth="1"/>
    <col min="13" max="13" width="9" style="298"/>
    <col min="14" max="14" width="2.25" style="298" customWidth="1"/>
    <col min="15" max="15" width="9" style="298"/>
    <col min="16" max="16" width="11.75" style="298" customWidth="1"/>
    <col min="17" max="17" width="8" style="298" hidden="1" customWidth="1"/>
    <col min="18" max="20" width="9" style="298"/>
    <col min="21" max="21" width="5" style="298" customWidth="1"/>
    <col min="22" max="22" width="9" style="298"/>
    <col min="23" max="23" width="0" style="298" hidden="1" customWidth="1"/>
    <col min="24" max="26" width="9" style="298"/>
    <col min="27" max="28" width="0" style="298" hidden="1" customWidth="1"/>
    <col min="29" max="35" width="8.25" style="298" hidden="1" customWidth="1"/>
    <col min="36" max="36" width="8.75" style="298" hidden="1" customWidth="1"/>
    <col min="37" max="37" width="7.25" style="298" hidden="1" customWidth="1"/>
    <col min="38" max="38" width="0" style="298" hidden="1" customWidth="1"/>
    <col min="39" max="16384" width="9" style="298"/>
  </cols>
  <sheetData>
    <row r="1" spans="1:23" x14ac:dyDescent="0.6">
      <c r="K1" s="299"/>
      <c r="L1" s="299" t="s">
        <v>391</v>
      </c>
    </row>
    <row r="4" spans="1:23" ht="12" customHeight="1" x14ac:dyDescent="0.6"/>
    <row r="5" spans="1:23" x14ac:dyDescent="0.6">
      <c r="A5" s="2484" t="s">
        <v>392</v>
      </c>
      <c r="B5" s="2484"/>
      <c r="C5" s="2484"/>
      <c r="D5" s="2484"/>
      <c r="E5" s="2484"/>
      <c r="F5" s="2484"/>
      <c r="G5" s="2484"/>
      <c r="H5" s="2484"/>
      <c r="I5" s="2484"/>
      <c r="J5" s="2484"/>
      <c r="K5" s="2484"/>
      <c r="L5" s="2484"/>
    </row>
    <row r="6" spans="1:23" x14ac:dyDescent="0.6">
      <c r="A6" s="2484" t="s">
        <v>111</v>
      </c>
      <c r="B6" s="2484"/>
      <c r="C6" s="2484"/>
      <c r="D6" s="2484"/>
      <c r="E6" s="2484"/>
      <c r="F6" s="2484"/>
      <c r="G6" s="2484"/>
      <c r="H6" s="2484"/>
      <c r="I6" s="2484"/>
      <c r="J6" s="2484"/>
      <c r="K6" s="2484"/>
      <c r="L6" s="2484"/>
    </row>
    <row r="7" spans="1:23" s="300" customFormat="1" ht="11.25" customHeight="1" x14ac:dyDescent="0.55000000000000004">
      <c r="C7" s="301"/>
      <c r="W7" s="300" t="s">
        <v>346</v>
      </c>
    </row>
    <row r="8" spans="1:23" ht="23.25" customHeight="1" x14ac:dyDescent="0.6">
      <c r="A8" s="302" t="s">
        <v>112</v>
      </c>
      <c r="B8" s="302"/>
      <c r="D8" s="302"/>
      <c r="E8" s="302"/>
      <c r="F8" s="302"/>
      <c r="G8" s="302"/>
      <c r="H8" s="302"/>
      <c r="I8" s="302"/>
      <c r="J8" s="302"/>
      <c r="K8" s="302"/>
    </row>
    <row r="9" spans="1:23" s="300" customFormat="1" x14ac:dyDescent="0.6">
      <c r="A9" s="303"/>
      <c r="B9" s="303" t="s">
        <v>114</v>
      </c>
      <c r="C9" s="2485" t="str">
        <f>IF('แบบข้อตกลง TOR (ป.วช.-01)'!C9:G9="","",'แบบข้อตกลง TOR (ป.วช.-01)'!C9:G9)</f>
        <v>อ.ดร. จุฑามาศ อาจนาเสียว</v>
      </c>
      <c r="D9" s="2485"/>
      <c r="E9" s="2485"/>
      <c r="F9" s="304"/>
      <c r="G9" s="305" t="s">
        <v>284</v>
      </c>
      <c r="H9" s="306"/>
      <c r="I9" s="544" t="str">
        <f>'แบบข้อตกลง TOR (ป.วช.-01)'!J9</f>
        <v>พนักงานมหาวิทยาลัย</v>
      </c>
      <c r="J9" s="307"/>
      <c r="K9" s="307"/>
      <c r="L9" s="308"/>
      <c r="M9" s="304"/>
      <c r="N9" s="309"/>
      <c r="O9" s="310" t="s">
        <v>113</v>
      </c>
      <c r="P9" s="311"/>
      <c r="Q9" s="311"/>
      <c r="R9" s="311"/>
      <c r="S9" s="311"/>
      <c r="T9" s="312"/>
      <c r="U9" s="313"/>
      <c r="W9" s="298">
        <v>0</v>
      </c>
    </row>
    <row r="10" spans="1:23" s="300" customFormat="1" ht="22.5" x14ac:dyDescent="0.55000000000000004">
      <c r="A10" s="303"/>
      <c r="B10" s="303" t="s">
        <v>117</v>
      </c>
      <c r="C10" s="2486" t="str">
        <f>'แบบข้อตกลง TOR (ป.วช.-01)'!AK11</f>
        <v>อาจารย์</v>
      </c>
      <c r="D10" s="2486"/>
      <c r="E10" s="2486"/>
      <c r="F10" s="304"/>
      <c r="G10" s="305" t="s">
        <v>115</v>
      </c>
      <c r="H10" s="306"/>
      <c r="I10" s="544" t="str">
        <f>'แบบข้อตกลง TOR (ป.วช.-01)'!J11</f>
        <v>คณะผลิตกรรมการเกษตร</v>
      </c>
      <c r="J10" s="307"/>
      <c r="K10" s="307"/>
      <c r="L10" s="308"/>
      <c r="M10" s="304"/>
      <c r="N10" s="314"/>
      <c r="O10" s="315" t="s">
        <v>500</v>
      </c>
      <c r="P10" s="315"/>
      <c r="Q10" s="316"/>
      <c r="R10" s="315"/>
      <c r="S10" s="315"/>
      <c r="T10" s="315"/>
      <c r="U10" s="317"/>
      <c r="W10" s="300">
        <v>1</v>
      </c>
    </row>
    <row r="11" spans="1:23" s="300" customFormat="1" x14ac:dyDescent="0.6">
      <c r="A11" s="303"/>
      <c r="B11" s="303" t="s">
        <v>121</v>
      </c>
      <c r="C11" s="2486" t="str">
        <f>'แบบข้อตกลง TOR (ป.วช.-01)'!C13:G13</f>
        <v>กรรมการหลักสูตร</v>
      </c>
      <c r="D11" s="2486"/>
      <c r="E11" s="2486"/>
      <c r="F11" s="304"/>
      <c r="G11" s="305" t="s">
        <v>615</v>
      </c>
      <c r="H11" s="306"/>
      <c r="I11" s="543" t="str">
        <f>IF('แบบข้อตกลง TOR (ป.วช.-01)'!J13&lt;&gt;"",'แบบข้อตกลง TOR (ป.วช.-01)'!J13,"")</f>
        <v>วิทยาศาสตรมหาบัณฑิต สาขาวิชาพืชไร่</v>
      </c>
      <c r="J11" s="307"/>
      <c r="K11" s="307"/>
      <c r="L11" s="308"/>
      <c r="M11" s="318"/>
      <c r="N11" s="314"/>
      <c r="O11" s="315" t="s">
        <v>499</v>
      </c>
      <c r="P11" s="315"/>
      <c r="Q11" s="315"/>
      <c r="R11" s="315"/>
      <c r="S11" s="315"/>
      <c r="T11" s="319"/>
      <c r="U11" s="317"/>
      <c r="W11" s="300">
        <v>2</v>
      </c>
    </row>
    <row r="12" spans="1:23" s="300" customFormat="1" ht="45" customHeight="1" x14ac:dyDescent="0.55000000000000004">
      <c r="A12" s="305"/>
      <c r="B12" s="648" t="s">
        <v>616</v>
      </c>
      <c r="C12" s="2468" t="str">
        <f>'แบบข้อตกลง TOR (ป.วช.-01)'!C15</f>
        <v>1 ตุลาคม 2560</v>
      </c>
      <c r="D12" s="2469"/>
      <c r="E12" s="2469"/>
      <c r="F12" s="320"/>
      <c r="G12" s="305" t="s">
        <v>128</v>
      </c>
      <c r="H12" s="306"/>
      <c r="I12" s="536" t="str">
        <f>'แบบข้อตกลง TOR (ป.วช.-01)'!J15</f>
        <v>30 กันยายน 2561</v>
      </c>
      <c r="J12" s="322"/>
      <c r="K12" s="323"/>
      <c r="L12" s="324"/>
      <c r="M12" s="325"/>
      <c r="N12" s="357"/>
      <c r="O12" s="357"/>
      <c r="P12" s="357"/>
      <c r="Q12" s="357"/>
      <c r="R12" s="357"/>
      <c r="S12" s="357"/>
      <c r="T12" s="357"/>
      <c r="U12" s="357"/>
      <c r="W12" s="300">
        <v>3</v>
      </c>
    </row>
    <row r="13" spans="1:23" s="300" customFormat="1" ht="22.5" x14ac:dyDescent="0.55000000000000004">
      <c r="A13" s="305"/>
      <c r="B13" s="305" t="s">
        <v>130</v>
      </c>
      <c r="C13" s="2470" t="str">
        <f>IF('แบบข้อตกลง TOR (ป.วช.-01)'!C17:G17&lt;&gt;"",'แบบข้อตกลง TOR (ป.วช.-01)'!C17:G17,"")</f>
        <v>ผู้ช่วยศาสตราจารย์ ดร.เรืองชัย จูวัฒนสำราญ</v>
      </c>
      <c r="D13" s="2470"/>
      <c r="E13" s="2470"/>
      <c r="F13" s="320"/>
      <c r="G13" s="305" t="s">
        <v>131</v>
      </c>
      <c r="H13" s="306"/>
      <c r="I13" s="321" t="str">
        <f>IF('แบบข้อตกลง TOR (ป.วช.-01)'!AK15&lt;&gt;0,'แบบข้อตกลง TOR (ป.วช.-01)'!AK15,"")</f>
        <v>คณบดี</v>
      </c>
      <c r="J13" s="322"/>
      <c r="K13" s="327"/>
      <c r="L13" s="328"/>
      <c r="N13" s="539"/>
      <c r="O13" s="539"/>
      <c r="P13" s="541"/>
      <c r="Q13" s="539"/>
      <c r="R13" s="541"/>
      <c r="S13" s="539"/>
      <c r="T13" s="539"/>
      <c r="U13" s="539"/>
      <c r="W13" s="300">
        <v>4</v>
      </c>
    </row>
    <row r="14" spans="1:23" x14ac:dyDescent="0.6">
      <c r="A14" s="300"/>
      <c r="B14" s="300"/>
      <c r="C14" s="326"/>
      <c r="D14" s="326"/>
      <c r="E14" s="326"/>
      <c r="F14" s="326"/>
      <c r="G14" s="326"/>
      <c r="H14" s="326"/>
      <c r="I14" s="326"/>
      <c r="J14" s="326"/>
      <c r="K14" s="326"/>
      <c r="L14" s="300"/>
      <c r="N14" s="539"/>
      <c r="O14" s="539"/>
      <c r="P14" s="540"/>
      <c r="Q14" s="540"/>
      <c r="R14" s="539"/>
      <c r="S14" s="539"/>
      <c r="T14" s="539"/>
      <c r="U14" s="539"/>
      <c r="W14" s="300">
        <v>5</v>
      </c>
    </row>
    <row r="15" spans="1:23" s="300" customFormat="1" ht="22.5" customHeight="1" x14ac:dyDescent="0.6">
      <c r="A15" s="329" t="s">
        <v>393</v>
      </c>
      <c r="B15" s="329"/>
      <c r="C15" s="329"/>
      <c r="D15" s="329"/>
      <c r="E15" s="329"/>
      <c r="F15" s="329"/>
      <c r="G15" s="329"/>
      <c r="H15" s="329"/>
      <c r="I15" s="329"/>
      <c r="J15" s="298"/>
      <c r="K15" s="298"/>
      <c r="L15" s="330"/>
      <c r="N15" s="540"/>
      <c r="O15" s="2001"/>
      <c r="P15" s="540"/>
      <c r="Q15" s="540"/>
      <c r="R15" s="540"/>
      <c r="S15" s="540"/>
      <c r="T15" s="539"/>
      <c r="U15" s="539"/>
      <c r="V15" s="539"/>
    </row>
    <row r="16" spans="1:23" s="300" customFormat="1" ht="36.75" customHeight="1" x14ac:dyDescent="0.55000000000000004">
      <c r="A16" s="2471" t="s">
        <v>139</v>
      </c>
      <c r="B16" s="2471"/>
      <c r="C16" s="2471"/>
      <c r="D16" s="2472" t="s">
        <v>394</v>
      </c>
      <c r="E16" s="2474" t="s">
        <v>395</v>
      </c>
      <c r="F16" s="2475"/>
      <c r="G16" s="2476"/>
      <c r="H16" s="2480" t="s">
        <v>396</v>
      </c>
      <c r="I16" s="2481"/>
      <c r="J16" s="2472" t="s">
        <v>397</v>
      </c>
      <c r="K16" s="2472" t="s">
        <v>398</v>
      </c>
      <c r="L16" s="2081" t="s">
        <v>399</v>
      </c>
      <c r="N16" s="539"/>
      <c r="O16" s="542"/>
      <c r="P16" s="542"/>
      <c r="Q16" s="542"/>
      <c r="R16" s="542"/>
      <c r="S16" s="542"/>
      <c r="T16" s="542"/>
      <c r="U16" s="542"/>
      <c r="V16" s="539"/>
    </row>
    <row r="17" spans="1:37" s="300" customFormat="1" ht="35.25" customHeight="1" x14ac:dyDescent="0.6">
      <c r="A17" s="2471"/>
      <c r="B17" s="2471"/>
      <c r="C17" s="2471"/>
      <c r="D17" s="2473"/>
      <c r="E17" s="2477"/>
      <c r="F17" s="2478"/>
      <c r="G17" s="2479"/>
      <c r="H17" s="2482"/>
      <c r="I17" s="2483"/>
      <c r="J17" s="2473"/>
      <c r="K17" s="2473"/>
      <c r="L17" s="2082"/>
      <c r="N17" s="309"/>
      <c r="O17" s="2002" t="s">
        <v>1235</v>
      </c>
      <c r="P17" s="311"/>
      <c r="Q17" s="311"/>
      <c r="R17" s="311"/>
      <c r="S17" s="311"/>
      <c r="T17" s="312"/>
      <c r="U17" s="313"/>
      <c r="V17" s="539"/>
    </row>
    <row r="18" spans="1:37" s="300" customFormat="1" ht="22.5" x14ac:dyDescent="0.55000000000000004">
      <c r="A18" s="2494" t="str">
        <f>'แบบข้อตกลง TOR (ป.วช.-01)'!A28:Q28</f>
        <v>1. ภาระงานบริหาร  (จำนวน 7.5 ชั่วโมงทำการ/สัปดาห์ คิดเป็นร้อยละ 10)</v>
      </c>
      <c r="B18" s="2495"/>
      <c r="C18" s="2495"/>
      <c r="D18" s="2495"/>
      <c r="E18" s="2495"/>
      <c r="F18" s="2495"/>
      <c r="G18" s="2495"/>
      <c r="H18" s="2495"/>
      <c r="I18" s="2495"/>
      <c r="J18" s="2495"/>
      <c r="K18" s="2495"/>
      <c r="L18" s="2496"/>
      <c r="N18" s="314"/>
      <c r="O18" s="1994" t="s">
        <v>1236</v>
      </c>
      <c r="P18" s="1994"/>
      <c r="Q18" s="1998"/>
      <c r="R18" s="2000"/>
      <c r="S18" s="1994"/>
      <c r="T18" s="1994"/>
      <c r="U18" s="1995"/>
      <c r="V18" s="402"/>
    </row>
    <row r="19" spans="1:37" s="300" customFormat="1" ht="60.75" customHeight="1" x14ac:dyDescent="0.55000000000000004">
      <c r="A19" s="335" t="str">
        <f>'แบบข้อตกลง TOR (ป.วช.-01)'!A31</f>
        <v>1)</v>
      </c>
      <c r="B19" s="2487" t="str">
        <f>'แบบข้อตกลง TOR (ป.วช.-01)'!B31:C31</f>
        <v>การบริหารงานหลักสูตร</v>
      </c>
      <c r="C19" s="2488"/>
      <c r="D19" s="336">
        <f>'แบบข้อตกลง TOR (ป.วช.-01)'!I31</f>
        <v>4</v>
      </c>
      <c r="E19" s="2489"/>
      <c r="F19" s="2490"/>
      <c r="G19" s="2491"/>
      <c r="H19" s="2492"/>
      <c r="I19" s="2493"/>
      <c r="J19" s="337">
        <f>'แบบข้อตกลง TOR (ป.วช.-01)'!K31</f>
        <v>10</v>
      </c>
      <c r="K19" s="1993">
        <v>5</v>
      </c>
      <c r="L19" s="338">
        <f>IF(J19&lt;&gt;"",J19*K19,0)</f>
        <v>50</v>
      </c>
      <c r="N19" s="331"/>
      <c r="O19" s="1996"/>
      <c r="P19" s="1996"/>
      <c r="Q19" s="1996"/>
      <c r="R19" s="1996"/>
      <c r="S19" s="1996"/>
      <c r="T19" s="1999"/>
      <c r="U19" s="1997"/>
    </row>
    <row r="20" spans="1:37" s="300" customFormat="1" ht="60.75" customHeight="1" x14ac:dyDescent="0.55000000000000004">
      <c r="A20" s="339" t="str">
        <f>'แบบข้อตกลง TOR (ป.วช.-01)'!A32</f>
        <v/>
      </c>
      <c r="B20" s="2487" t="str">
        <f>'แบบข้อตกลง TOR (ป.วช.-01)'!B32:C32</f>
        <v/>
      </c>
      <c r="C20" s="2488"/>
      <c r="D20" s="340" t="str">
        <f>'แบบข้อตกลง TOR (ป.วช.-01)'!I32</f>
        <v/>
      </c>
      <c r="E20" s="2489"/>
      <c r="F20" s="2490"/>
      <c r="G20" s="2491"/>
      <c r="H20" s="2492"/>
      <c r="I20" s="2493"/>
      <c r="J20" s="337" t="str">
        <f>'แบบข้อตกลง TOR (ป.วช.-01)'!K32</f>
        <v/>
      </c>
      <c r="K20" s="1993"/>
      <c r="L20" s="341">
        <f>IF(J20&lt;&gt;"",J20*K20,0)</f>
        <v>0</v>
      </c>
    </row>
    <row r="21" spans="1:37" s="300" customFormat="1" ht="22.5" x14ac:dyDescent="0.55000000000000004">
      <c r="A21" s="342" t="str">
        <f>'แบบข้อตกลง TOR (ป.วช.-01)'!A33</f>
        <v/>
      </c>
      <c r="B21" s="2487" t="str">
        <f>'แบบข้อตกลง TOR (ป.วช.-01)'!B33:C33</f>
        <v/>
      </c>
      <c r="C21" s="2488"/>
      <c r="D21" s="336" t="str">
        <f>'แบบข้อตกลง TOR (ป.วช.-01)'!I33</f>
        <v/>
      </c>
      <c r="E21" s="2489"/>
      <c r="F21" s="2490"/>
      <c r="G21" s="2491"/>
      <c r="H21" s="2492"/>
      <c r="I21" s="2493"/>
      <c r="J21" s="343" t="str">
        <f>'แบบข้อตกลง TOR (ป.วช.-01)'!K33</f>
        <v/>
      </c>
      <c r="K21" s="1993"/>
      <c r="L21" s="341">
        <f>IF(J21&lt;&gt;"",J21*K21,0)</f>
        <v>0</v>
      </c>
    </row>
    <row r="22" spans="1:37" s="300" customFormat="1" ht="22.5" x14ac:dyDescent="0.55000000000000004">
      <c r="A22" s="2497" t="s">
        <v>400</v>
      </c>
      <c r="B22" s="2498"/>
      <c r="C22" s="2498"/>
      <c r="D22" s="2498"/>
      <c r="E22" s="2498"/>
      <c r="F22" s="2498"/>
      <c r="G22" s="2498"/>
      <c r="H22" s="2498"/>
      <c r="I22" s="2498"/>
      <c r="J22" s="2498"/>
      <c r="K22" s="2499"/>
      <c r="L22" s="344">
        <f>SUM(L19:L21)/5</f>
        <v>10</v>
      </c>
    </row>
    <row r="23" spans="1:37" s="300" customFormat="1" ht="22.5" x14ac:dyDescent="0.55000000000000004">
      <c r="A23" s="2494" t="str">
        <f>'แบบข้อตกลง TOR (ป.วช.-01)'!A35:Q35</f>
        <v>2. ภาระงานตามพันธกิจ   (ร้อยละ 40)</v>
      </c>
      <c r="B23" s="2495"/>
      <c r="C23" s="2495"/>
      <c r="D23" s="2495"/>
      <c r="E23" s="2495"/>
      <c r="F23" s="2495"/>
      <c r="G23" s="2495"/>
      <c r="H23" s="2495"/>
      <c r="I23" s="2495"/>
      <c r="J23" s="2495"/>
      <c r="K23" s="2495"/>
      <c r="L23" s="2496"/>
      <c r="AC23" s="345" t="s">
        <v>401</v>
      </c>
      <c r="AD23" s="345" t="s">
        <v>402</v>
      </c>
      <c r="AE23" s="345" t="s">
        <v>403</v>
      </c>
      <c r="AF23" s="345" t="s">
        <v>404</v>
      </c>
      <c r="AG23" s="345" t="s">
        <v>405</v>
      </c>
      <c r="AH23" s="345" t="s">
        <v>406</v>
      </c>
      <c r="AI23" s="345" t="s">
        <v>407</v>
      </c>
      <c r="AJ23" s="346" t="s">
        <v>408</v>
      </c>
      <c r="AK23" s="347" t="s">
        <v>409</v>
      </c>
    </row>
    <row r="24" spans="1:37" s="300" customFormat="1" ht="22.5" customHeight="1" x14ac:dyDescent="0.55000000000000004">
      <c r="A24" s="348" t="s">
        <v>147</v>
      </c>
      <c r="B24" s="2500" t="str">
        <f>'แบบข้อตกลง TOR (ป.วช.-01)'!B36:Q36</f>
        <v>ภาระงานเชิงปริมาณ (จำนวน 27.5 ชั่วโมงทำการ/สัปดาห์ คิดเป็นร้อยละ 20)</v>
      </c>
      <c r="C24" s="2500"/>
      <c r="D24" s="2500"/>
      <c r="E24" s="2500"/>
      <c r="F24" s="2500"/>
      <c r="G24" s="2500"/>
      <c r="H24" s="2500"/>
      <c r="I24" s="2500"/>
      <c r="J24" s="2500"/>
      <c r="K24" s="2500"/>
      <c r="L24" s="2501"/>
      <c r="M24" s="349"/>
    </row>
    <row r="25" spans="1:37" s="300" customFormat="1" ht="35.25" customHeight="1" x14ac:dyDescent="0.55000000000000004">
      <c r="A25" s="2471" t="s">
        <v>139</v>
      </c>
      <c r="B25" s="2471"/>
      <c r="C25" s="2471"/>
      <c r="D25" s="2472" t="s">
        <v>394</v>
      </c>
      <c r="E25" s="2474" t="s">
        <v>410</v>
      </c>
      <c r="F25" s="2475"/>
      <c r="G25" s="2476"/>
      <c r="H25" s="2480" t="s">
        <v>396</v>
      </c>
      <c r="I25" s="2481"/>
      <c r="J25" s="2472" t="s">
        <v>397</v>
      </c>
      <c r="K25" s="2472" t="s">
        <v>398</v>
      </c>
      <c r="L25" s="2081" t="s">
        <v>411</v>
      </c>
      <c r="M25" s="334"/>
    </row>
    <row r="26" spans="1:37" s="300" customFormat="1" ht="36" customHeight="1" x14ac:dyDescent="0.55000000000000004">
      <c r="A26" s="2471"/>
      <c r="B26" s="2471"/>
      <c r="C26" s="2471"/>
      <c r="D26" s="2473"/>
      <c r="E26" s="2477"/>
      <c r="F26" s="2478"/>
      <c r="G26" s="2479"/>
      <c r="H26" s="2482"/>
      <c r="I26" s="2483"/>
      <c r="J26" s="2473"/>
      <c r="K26" s="2473"/>
      <c r="L26" s="2082"/>
      <c r="M26" s="334"/>
      <c r="N26" s="538"/>
      <c r="O26" s="312"/>
      <c r="P26" s="312"/>
      <c r="Q26" s="312"/>
      <c r="R26" s="312"/>
      <c r="S26" s="312"/>
      <c r="T26" s="312"/>
      <c r="U26" s="313"/>
    </row>
    <row r="27" spans="1:37" s="300" customFormat="1" ht="25.5" customHeight="1" x14ac:dyDescent="0.55000000000000004">
      <c r="A27" s="350" t="s">
        <v>150</v>
      </c>
      <c r="B27" s="2502" t="s">
        <v>151</v>
      </c>
      <c r="C27" s="2503"/>
      <c r="D27" s="351">
        <f>'แบบข้อตกลง TOR (ป.วช.-01)'!I39</f>
        <v>12.5</v>
      </c>
      <c r="E27" s="2504">
        <f>สรุปภาระงาน!H27</f>
        <v>38.682777777777773</v>
      </c>
      <c r="F27" s="2505"/>
      <c r="G27" s="2506"/>
      <c r="H27" s="2507"/>
      <c r="I27" s="2508"/>
      <c r="J27" s="352">
        <f>'แบบข้อตกลง TOR (ป.วช.-01)'!K39</f>
        <v>9.0909090909090899</v>
      </c>
      <c r="K27" s="353">
        <f>IF('แบบข้อตกลง TOR (ป.วช.-01)'!I39=0,0,IF(5-(('แบบข้อตกลง TOR (ป.วช.-01)'!I39-E27)/('แบบข้อตกลง TOR (ป.วช.-01)'!I39-'แบบข้อตกลง TOR (ป.วช.-01)'!L39)*5)&gt;5,5,5-(('แบบข้อตกลง TOR (ป.วช.-01)'!I39-E27)/('แบบข้อตกลง TOR (ป.วช.-01)'!I39-'แบบข้อตกลง TOR (ป.วช.-01)'!L39)*5)))</f>
        <v>5</v>
      </c>
      <c r="L27" s="354">
        <f>J27*K27</f>
        <v>45.454545454545453</v>
      </c>
      <c r="M27" s="334"/>
      <c r="N27" s="314"/>
      <c r="O27" s="315"/>
      <c r="P27" s="315"/>
      <c r="Q27" s="315"/>
      <c r="R27" s="315"/>
      <c r="S27" s="315"/>
      <c r="T27" s="315"/>
      <c r="U27" s="317"/>
    </row>
    <row r="28" spans="1:37" s="300" customFormat="1" ht="25.5" customHeight="1" x14ac:dyDescent="0.55000000000000004">
      <c r="A28" s="350" t="s">
        <v>154</v>
      </c>
      <c r="B28" s="2502" t="s">
        <v>155</v>
      </c>
      <c r="C28" s="2503"/>
      <c r="D28" s="355">
        <f>'แบบข้อตกลง TOR (ป.วช.-01)'!I40</f>
        <v>12</v>
      </c>
      <c r="E28" s="2504">
        <f>สรุปภาระงาน!H28</f>
        <v>37.666666666666664</v>
      </c>
      <c r="F28" s="2505"/>
      <c r="G28" s="2506"/>
      <c r="H28" s="2507"/>
      <c r="I28" s="2508"/>
      <c r="J28" s="352">
        <f>'แบบข้อตกลง TOR (ป.วช.-01)'!K40</f>
        <v>8.7272727272727266</v>
      </c>
      <c r="K28" s="353">
        <f>IF('แบบข้อตกลง TOR (ป.วช.-01)'!I40=0,0,IF(5-(('แบบข้อตกลง TOR (ป.วช.-01)'!I40-E28)/('แบบข้อตกลง TOR (ป.วช.-01)'!I40-'แบบข้อตกลง TOR (ป.วช.-01)'!L40)*5)&gt;5,5,5-(('แบบข้อตกลง TOR (ป.วช.-01)'!I40-E28)/('แบบข้อตกลง TOR (ป.วช.-01)'!I40-'แบบข้อตกลง TOR (ป.วช.-01)'!L40)*5)))</f>
        <v>5</v>
      </c>
      <c r="L28" s="354">
        <f>J28*K28</f>
        <v>43.636363636363633</v>
      </c>
      <c r="M28" s="334"/>
      <c r="N28" s="314"/>
      <c r="O28" s="315"/>
      <c r="P28" s="315"/>
      <c r="Q28" s="315"/>
      <c r="R28" s="315"/>
      <c r="S28" s="315"/>
      <c r="T28" s="315"/>
      <c r="U28" s="317"/>
    </row>
    <row r="29" spans="1:37" s="300" customFormat="1" ht="25.5" customHeight="1" x14ac:dyDescent="0.55000000000000004">
      <c r="A29" s="350" t="s">
        <v>157</v>
      </c>
      <c r="B29" s="2502" t="s">
        <v>158</v>
      </c>
      <c r="C29" s="2503"/>
      <c r="D29" s="355">
        <f>'แบบข้อตกลง TOR (ป.วช.-01)'!I41</f>
        <v>2</v>
      </c>
      <c r="E29" s="2504">
        <f>สรุปภาระงาน!H29</f>
        <v>2.0555555555555554</v>
      </c>
      <c r="F29" s="2505"/>
      <c r="G29" s="2506"/>
      <c r="H29" s="2507"/>
      <c r="I29" s="2508"/>
      <c r="J29" s="352">
        <f>'แบบข้อตกลง TOR (ป.วช.-01)'!K41</f>
        <v>1.4545454545454544</v>
      </c>
      <c r="K29" s="353">
        <f>IF('แบบข้อตกลง TOR (ป.วช.-01)'!I41=0,0,IF(5-(('แบบข้อตกลง TOR (ป.วช.-01)'!I41-E29)/('แบบข้อตกลง TOR (ป.วช.-01)'!I41-'แบบข้อตกลง TOR (ป.วช.-01)'!L41)*5)&gt;5,5,5-(('แบบข้อตกลง TOR (ป.วช.-01)'!I41-E29)/('แบบข้อตกลง TOR (ป.วช.-01)'!I41-'แบบข้อตกลง TOR (ป.วช.-01)'!L41)*5)))</f>
        <v>5</v>
      </c>
      <c r="L29" s="354">
        <f>J29*K29</f>
        <v>7.2727272727272716</v>
      </c>
      <c r="M29" s="334"/>
      <c r="N29" s="314"/>
      <c r="O29" s="315"/>
      <c r="P29" s="315"/>
      <c r="Q29" s="315"/>
      <c r="R29" s="315"/>
      <c r="S29" s="315"/>
      <c r="T29" s="315"/>
      <c r="U29" s="317"/>
    </row>
    <row r="30" spans="1:37" s="300" customFormat="1" ht="22.5" customHeight="1" x14ac:dyDescent="0.55000000000000004">
      <c r="A30" s="350" t="s">
        <v>160</v>
      </c>
      <c r="B30" s="2502" t="s">
        <v>161</v>
      </c>
      <c r="C30" s="2503"/>
      <c r="D30" s="355">
        <f>'แบบข้อตกลง TOR (ป.วช.-01)'!I42</f>
        <v>1</v>
      </c>
      <c r="E30" s="2504">
        <f>สรุปภาระงาน!H30</f>
        <v>1</v>
      </c>
      <c r="F30" s="2505"/>
      <c r="G30" s="2506"/>
      <c r="H30" s="2507"/>
      <c r="I30" s="2508"/>
      <c r="J30" s="352">
        <f>'แบบข้อตกลง TOR (ป.วช.-01)'!K42</f>
        <v>0.72727272727272718</v>
      </c>
      <c r="K30" s="353">
        <f>IF('แบบข้อตกลง TOR (ป.วช.-01)'!I42=0,0,IF(5-(('แบบข้อตกลง TOR (ป.วช.-01)'!I42-E30)/('แบบข้อตกลง TOR (ป.วช.-01)'!I42-'แบบข้อตกลง TOR (ป.วช.-01)'!L42)*5)&gt;5,5,5-(('แบบข้อตกลง TOR (ป.วช.-01)'!I42-E30)/('แบบข้อตกลง TOR (ป.วช.-01)'!I42-'แบบข้อตกลง TOR (ป.วช.-01)'!L42)*5)))</f>
        <v>5</v>
      </c>
      <c r="L30" s="354">
        <f>J30*K30</f>
        <v>3.6363636363636358</v>
      </c>
      <c r="N30" s="314"/>
      <c r="O30" s="315"/>
      <c r="P30" s="315"/>
      <c r="Q30" s="315"/>
      <c r="R30" s="315"/>
      <c r="S30" s="315"/>
      <c r="T30" s="315"/>
      <c r="U30" s="317"/>
    </row>
    <row r="31" spans="1:37" s="300" customFormat="1" ht="22.5" x14ac:dyDescent="0.55000000000000004">
      <c r="A31" s="2521" t="s">
        <v>412</v>
      </c>
      <c r="B31" s="2522"/>
      <c r="C31" s="2522"/>
      <c r="D31" s="2522"/>
      <c r="E31" s="2522"/>
      <c r="F31" s="2522"/>
      <c r="G31" s="2522"/>
      <c r="H31" s="2522"/>
      <c r="I31" s="2522"/>
      <c r="J31" s="2522"/>
      <c r="K31" s="2523"/>
      <c r="L31" s="356">
        <f>SUM(L27:L30)/5</f>
        <v>20</v>
      </c>
      <c r="N31" s="357"/>
      <c r="O31" s="357"/>
      <c r="P31" s="357"/>
      <c r="Q31" s="357"/>
      <c r="R31" s="357"/>
      <c r="S31" s="357"/>
      <c r="T31" s="357"/>
      <c r="U31" s="357"/>
    </row>
    <row r="32" spans="1:37" s="300" customFormat="1" ht="24.75" customHeight="1" x14ac:dyDescent="0.55000000000000004">
      <c r="A32" s="348" t="s">
        <v>164</v>
      </c>
      <c r="B32" s="2524" t="str">
        <f>'แบบข้อตกลง TOR (ป.วช.-01)'!B44:Q44</f>
        <v>ภาระงานเชิงคุณภาพ (ร้อยละ 20)</v>
      </c>
      <c r="C32" s="2524"/>
      <c r="D32" s="2524"/>
      <c r="E32" s="2524"/>
      <c r="F32" s="2524"/>
      <c r="G32" s="2524"/>
      <c r="H32" s="2524"/>
      <c r="I32" s="2524"/>
      <c r="J32" s="2524"/>
      <c r="K32" s="2524"/>
      <c r="L32" s="2525"/>
    </row>
    <row r="33" spans="1:12" s="300" customFormat="1" ht="40.5" customHeight="1" x14ac:dyDescent="0.55000000000000004">
      <c r="A33" s="2471" t="s">
        <v>139</v>
      </c>
      <c r="B33" s="2471"/>
      <c r="C33" s="2471"/>
      <c r="D33" s="2472" t="s">
        <v>394</v>
      </c>
      <c r="E33" s="2475" t="s">
        <v>395</v>
      </c>
      <c r="F33" s="2475"/>
      <c r="G33" s="2476"/>
      <c r="H33" s="2480" t="s">
        <v>396</v>
      </c>
      <c r="I33" s="2481"/>
      <c r="J33" s="2472" t="s">
        <v>397</v>
      </c>
      <c r="K33" s="2472" t="s">
        <v>398</v>
      </c>
      <c r="L33" s="2081" t="s">
        <v>413</v>
      </c>
    </row>
    <row r="34" spans="1:12" s="300" customFormat="1" ht="30" customHeight="1" x14ac:dyDescent="0.55000000000000004">
      <c r="A34" s="2471"/>
      <c r="B34" s="2471"/>
      <c r="C34" s="2471"/>
      <c r="D34" s="2473"/>
      <c r="E34" s="2478"/>
      <c r="F34" s="2478"/>
      <c r="G34" s="2479"/>
      <c r="H34" s="2482"/>
      <c r="I34" s="2483"/>
      <c r="J34" s="2473"/>
      <c r="K34" s="2473"/>
      <c r="L34" s="2082"/>
    </row>
    <row r="35" spans="1:12" s="300" customFormat="1" ht="22.5" x14ac:dyDescent="0.55000000000000004">
      <c r="A35" s="2083" t="s">
        <v>150</v>
      </c>
      <c r="B35" s="2084" t="s">
        <v>151</v>
      </c>
      <c r="C35" s="2085"/>
      <c r="D35" s="2086">
        <f>'แบบข้อตกลง TOR (ป.วช.-01)'!I47</f>
        <v>7</v>
      </c>
      <c r="E35" s="2509"/>
      <c r="F35" s="2510"/>
      <c r="G35" s="2510"/>
      <c r="H35" s="2511"/>
      <c r="I35" s="2511"/>
      <c r="J35" s="2087">
        <f>'แบบข้อตกลง TOR (ป.วช.-01)'!K47</f>
        <v>10</v>
      </c>
      <c r="K35" s="2086">
        <f>SUM(K36:K43)</f>
        <v>7</v>
      </c>
      <c r="L35" s="2088"/>
    </row>
    <row r="36" spans="1:12" s="300" customFormat="1" ht="58.5" customHeight="1" x14ac:dyDescent="0.55000000000000004">
      <c r="A36" s="2512" t="s">
        <v>171</v>
      </c>
      <c r="B36" s="2513" t="str">
        <f>'แบบข้อตกลง TOR (ป.วช.-01)'!B48:C48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6" s="2514"/>
      <c r="D36" s="2515">
        <f>'แบบข้อตกลง TOR (ป.วช.-01)'!AB22</f>
        <v>1</v>
      </c>
      <c r="E36" s="2516" t="str">
        <f>สรุปภาระงาน!K62</f>
        <v>มี</v>
      </c>
      <c r="F36" s="2517"/>
      <c r="G36" s="2518"/>
      <c r="H36" s="2519"/>
      <c r="I36" s="2520"/>
      <c r="J36" s="2515">
        <f>'แบบข้อตกลง TOR (ป.วช.-01)'!K48</f>
        <v>1</v>
      </c>
      <c r="K36" s="2515">
        <f>สรุปภาระงาน!L62</f>
        <v>1</v>
      </c>
      <c r="L36" s="2531">
        <f>K36</f>
        <v>1</v>
      </c>
    </row>
    <row r="37" spans="1:12" s="300" customFormat="1" ht="60.75" customHeight="1" x14ac:dyDescent="0.55000000000000004">
      <c r="A37" s="2512"/>
      <c r="B37" s="2528" t="str">
        <f>'แบบข้อตกลง TOR (ป.วช.-01)'!B49:C49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7" s="2514"/>
      <c r="D37" s="2515"/>
      <c r="E37" s="2516" t="str">
        <f>สรุปภาระงาน!K63</f>
        <v>มี</v>
      </c>
      <c r="F37" s="2517"/>
      <c r="G37" s="2518"/>
      <c r="H37" s="2519"/>
      <c r="I37" s="2520"/>
      <c r="J37" s="2515"/>
      <c r="K37" s="2515"/>
      <c r="L37" s="2531"/>
    </row>
    <row r="38" spans="1:12" s="300" customFormat="1" ht="60" customHeight="1" x14ac:dyDescent="0.55000000000000004">
      <c r="A38" s="2512" t="s">
        <v>177</v>
      </c>
      <c r="B38" s="2528" t="str">
        <f>'แบบข้อตกลง TOR (ป.วช.-01)'!B50:C50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8" s="2514"/>
      <c r="D38" s="2515">
        <f>'แบบข้อตกลง TOR (ป.วช.-01)'!AD22</f>
        <v>3</v>
      </c>
      <c r="E38" s="2516" t="str">
        <f>สรุปภาระงาน!K64</f>
        <v>มี</v>
      </c>
      <c r="F38" s="2517"/>
      <c r="G38" s="2518"/>
      <c r="H38" s="2519"/>
      <c r="I38" s="2520"/>
      <c r="J38" s="2515">
        <f>'แบบข้อตกลง TOR (ป.วช.-01)'!K50</f>
        <v>3</v>
      </c>
      <c r="K38" s="2515">
        <f>สรุปภาระงาน!L64</f>
        <v>3</v>
      </c>
      <c r="L38" s="2531">
        <f>K38</f>
        <v>3</v>
      </c>
    </row>
    <row r="39" spans="1:12" s="300" customFormat="1" ht="22.5" customHeight="1" x14ac:dyDescent="0.55000000000000004">
      <c r="A39" s="2512"/>
      <c r="B39" s="2535" t="str">
        <f>'แบบข้อตกลง TOR (ป.วช.-01)'!B51:C51</f>
        <v>มีทักษะการเรียนรู้ในศตวรรษที่ 21</v>
      </c>
      <c r="C39" s="2536"/>
      <c r="D39" s="2515"/>
      <c r="E39" s="2516" t="str">
        <f>สรุปภาระงาน!K65</f>
        <v>มี</v>
      </c>
      <c r="F39" s="2517"/>
      <c r="G39" s="2518"/>
      <c r="H39" s="2519"/>
      <c r="I39" s="2520"/>
      <c r="J39" s="2515"/>
      <c r="K39" s="2515"/>
      <c r="L39" s="2531"/>
    </row>
    <row r="40" spans="1:12" s="300" customFormat="1" ht="44.25" customHeight="1" x14ac:dyDescent="0.55000000000000004">
      <c r="A40" s="2526" t="s">
        <v>182</v>
      </c>
      <c r="B40" s="2528" t="str">
        <f>'แบบข้อตกลง TOR (ป.วช.-01)'!B52:C52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40" s="2514"/>
      <c r="D40" s="2529">
        <f>'แบบข้อตกลง TOR (ป.วช.-01)'!AF22</f>
        <v>1</v>
      </c>
      <c r="E40" s="2516" t="str">
        <f>สรุปภาระงาน!K66</f>
        <v>มี</v>
      </c>
      <c r="F40" s="2517"/>
      <c r="G40" s="2518"/>
      <c r="H40" s="2519"/>
      <c r="I40" s="2520"/>
      <c r="J40" s="2529">
        <f>'แบบข้อตกลง TOR (ป.วช.-01)'!K52</f>
        <v>1</v>
      </c>
      <c r="K40" s="2529">
        <f>สรุปภาระงาน!L66+สรุปภาระงาน!L68</f>
        <v>1</v>
      </c>
      <c r="L40" s="2532">
        <f>K40</f>
        <v>1</v>
      </c>
    </row>
    <row r="41" spans="1:12" s="300" customFormat="1" ht="63" customHeight="1" x14ac:dyDescent="0.55000000000000004">
      <c r="A41" s="2527"/>
      <c r="B41" s="2528" t="str">
        <f>'แบบข้อตกลง TOR (ป.วช.-01)'!B53:C53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41" s="2514"/>
      <c r="D41" s="2530"/>
      <c r="E41" s="2516" t="str">
        <f>สรุปภาระงาน!K67</f>
        <v>มี</v>
      </c>
      <c r="F41" s="2517"/>
      <c r="G41" s="2518"/>
      <c r="H41" s="2519"/>
      <c r="I41" s="2520"/>
      <c r="J41" s="2530"/>
      <c r="K41" s="2530"/>
      <c r="L41" s="2533"/>
    </row>
    <row r="42" spans="1:12" s="300" customFormat="1" ht="39.75" customHeight="1" x14ac:dyDescent="0.55000000000000004">
      <c r="A42" s="359" t="s">
        <v>186</v>
      </c>
      <c r="B42" s="2513" t="s">
        <v>414</v>
      </c>
      <c r="C42" s="2514"/>
      <c r="D42" s="336">
        <f>'แบบข้อตกลง TOR (ป.วช.-01)'!AH22</f>
        <v>0</v>
      </c>
      <c r="E42" s="2534" t="str">
        <f>สรุปภาระงาน!K70</f>
        <v>ไม่มี</v>
      </c>
      <c r="F42" s="2517"/>
      <c r="G42" s="2518"/>
      <c r="H42" s="2519"/>
      <c r="I42" s="2520"/>
      <c r="J42" s="360">
        <f>'แบบข้อตกลง TOR (ป.วช.-01)'!K56</f>
        <v>3</v>
      </c>
      <c r="K42" s="336">
        <f>สรุปภาระงาน!L70</f>
        <v>0</v>
      </c>
      <c r="L42" s="361">
        <f>K42</f>
        <v>0</v>
      </c>
    </row>
    <row r="43" spans="1:12" s="300" customFormat="1" ht="60.75" customHeight="1" x14ac:dyDescent="0.55000000000000004">
      <c r="A43" s="359" t="s">
        <v>189</v>
      </c>
      <c r="B43" s="2513" t="str">
        <f>'แบบข้อตกลง TOR (ป.วช.-01)'!B57:C57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3" s="2514"/>
      <c r="D43" s="336">
        <f>'แบบข้อตกลง TOR (ป.วช.-01)'!AI22</f>
        <v>2</v>
      </c>
      <c r="E43" s="2534" t="str">
        <f>สรุปภาระงาน!K71</f>
        <v>มี</v>
      </c>
      <c r="F43" s="2517"/>
      <c r="G43" s="2518"/>
      <c r="H43" s="2519"/>
      <c r="I43" s="2520"/>
      <c r="J43" s="360">
        <f>'แบบข้อตกลง TOR (ป.วช.-01)'!K57</f>
        <v>2</v>
      </c>
      <c r="K43" s="336">
        <f>สรุปภาระงาน!L71+สรุปภาระงาน!L72</f>
        <v>2</v>
      </c>
      <c r="L43" s="361">
        <f>K43</f>
        <v>2</v>
      </c>
    </row>
    <row r="44" spans="1:12" s="300" customFormat="1" ht="40.5" customHeight="1" x14ac:dyDescent="0.55000000000000004">
      <c r="A44" s="2471" t="s">
        <v>139</v>
      </c>
      <c r="B44" s="2471"/>
      <c r="C44" s="2471"/>
      <c r="D44" s="2472" t="s">
        <v>394</v>
      </c>
      <c r="E44" s="2475" t="s">
        <v>395</v>
      </c>
      <c r="F44" s="2475"/>
      <c r="G44" s="2476"/>
      <c r="H44" s="2480" t="s">
        <v>396</v>
      </c>
      <c r="I44" s="2481"/>
      <c r="J44" s="2472" t="s">
        <v>397</v>
      </c>
      <c r="K44" s="2472" t="s">
        <v>398</v>
      </c>
      <c r="L44" s="2081" t="s">
        <v>413</v>
      </c>
    </row>
    <row r="45" spans="1:12" s="300" customFormat="1" ht="30" customHeight="1" x14ac:dyDescent="0.55000000000000004">
      <c r="A45" s="2471"/>
      <c r="B45" s="2471"/>
      <c r="C45" s="2471"/>
      <c r="D45" s="2473"/>
      <c r="E45" s="2478"/>
      <c r="F45" s="2478"/>
      <c r="G45" s="2479"/>
      <c r="H45" s="2482"/>
      <c r="I45" s="2483"/>
      <c r="J45" s="2473"/>
      <c r="K45" s="2473"/>
      <c r="L45" s="2082"/>
    </row>
    <row r="46" spans="1:12" s="300" customFormat="1" ht="22.5" x14ac:dyDescent="0.55000000000000004">
      <c r="A46" s="2089" t="s">
        <v>154</v>
      </c>
      <c r="B46" s="2084" t="s">
        <v>155</v>
      </c>
      <c r="C46" s="2085"/>
      <c r="D46" s="2086">
        <f>'แบบข้อตกลง TOR (ป.วช.-01)'!I58</f>
        <v>10</v>
      </c>
      <c r="E46" s="2509"/>
      <c r="F46" s="2510"/>
      <c r="G46" s="2510"/>
      <c r="H46" s="2511"/>
      <c r="I46" s="2511"/>
      <c r="J46" s="2087">
        <f>'แบบข้อตกลง TOR (ป.วช.-01)'!K58</f>
        <v>10</v>
      </c>
      <c r="K46" s="2086">
        <f>SUM(K47:K48)</f>
        <v>10</v>
      </c>
      <c r="L46" s="2088"/>
    </row>
    <row r="47" spans="1:12" s="300" customFormat="1" ht="22.5" x14ac:dyDescent="0.55000000000000004">
      <c r="A47" s="359" t="s">
        <v>171</v>
      </c>
      <c r="B47" s="2513" t="s">
        <v>192</v>
      </c>
      <c r="C47" s="2514"/>
      <c r="D47" s="362">
        <f>'แบบข้อตกลง TOR (ป.วช.-01)'!AJ22</f>
        <v>5</v>
      </c>
      <c r="E47" s="2516" t="str">
        <f>สรุปภาระงาน!K83</f>
        <v>มี</v>
      </c>
      <c r="F47" s="2517"/>
      <c r="G47" s="2518"/>
      <c r="H47" s="2519"/>
      <c r="I47" s="2520"/>
      <c r="J47" s="363">
        <f>'แบบข้อตกลง TOR (ป.วช.-01)'!K59</f>
        <v>5</v>
      </c>
      <c r="K47" s="1747">
        <f>สรุปภาระงาน!L83</f>
        <v>5</v>
      </c>
      <c r="L47" s="364">
        <f t="shared" ref="L47:L53" si="0">K47</f>
        <v>5</v>
      </c>
    </row>
    <row r="48" spans="1:12" s="300" customFormat="1" ht="22.5" customHeight="1" x14ac:dyDescent="0.55000000000000004">
      <c r="A48" s="365" t="s">
        <v>177</v>
      </c>
      <c r="B48" s="2513" t="s">
        <v>415</v>
      </c>
      <c r="C48" s="2514"/>
      <c r="D48" s="362">
        <f>'แบบข้อตกลง TOR (ป.วช.-01)'!AK22</f>
        <v>5</v>
      </c>
      <c r="E48" s="2516" t="str">
        <f>สรุปภาระงาน!K84</f>
        <v>มี</v>
      </c>
      <c r="F48" s="2517"/>
      <c r="G48" s="2518"/>
      <c r="H48" s="2519"/>
      <c r="I48" s="2520"/>
      <c r="J48" s="363">
        <f>'แบบข้อตกลง TOR (ป.วช.-01)'!K60</f>
        <v>5</v>
      </c>
      <c r="K48" s="1747">
        <f>'2. วิจัยและงานวิชาการอื่น'!I8</f>
        <v>5</v>
      </c>
      <c r="L48" s="364">
        <f t="shared" si="0"/>
        <v>5</v>
      </c>
    </row>
    <row r="49" spans="1:21" s="300" customFormat="1" ht="22.5" customHeight="1" x14ac:dyDescent="0.55000000000000004">
      <c r="A49" s="366"/>
      <c r="B49" s="367" t="s">
        <v>416</v>
      </c>
      <c r="C49" s="368" t="s">
        <v>417</v>
      </c>
      <c r="D49" s="369">
        <f>'แบบข้อตกลง TOR (ป.วช.-01)'!I62</f>
        <v>0</v>
      </c>
      <c r="E49" s="2543">
        <f>'2. วิจัยและงานวิชาการอื่น'!H9</f>
        <v>0</v>
      </c>
      <c r="F49" s="2544"/>
      <c r="G49" s="2545"/>
      <c r="H49" s="2751"/>
      <c r="I49" s="2752"/>
      <c r="J49" s="370">
        <v>1</v>
      </c>
      <c r="K49" s="371">
        <f>'2. วิจัยและงานวิชาการอื่น'!I9</f>
        <v>0</v>
      </c>
      <c r="L49" s="372">
        <f t="shared" si="0"/>
        <v>0</v>
      </c>
    </row>
    <row r="50" spans="1:21" s="300" customFormat="1" ht="22.5" customHeight="1" x14ac:dyDescent="0.55000000000000004">
      <c r="A50" s="366"/>
      <c r="B50" s="373" t="s">
        <v>418</v>
      </c>
      <c r="C50" s="374" t="s">
        <v>417</v>
      </c>
      <c r="D50" s="375">
        <f>'แบบข้อตกลง TOR (ป.วช.-01)'!I63</f>
        <v>0</v>
      </c>
      <c r="E50" s="2537">
        <f>'2. วิจัยและงานวิชาการอื่น'!H10</f>
        <v>4</v>
      </c>
      <c r="F50" s="2538"/>
      <c r="G50" s="2539"/>
      <c r="H50" s="2753"/>
      <c r="I50" s="2754"/>
      <c r="J50" s="376">
        <v>2</v>
      </c>
      <c r="K50" s="377">
        <f>'2. วิจัยและงานวิชาการอื่น'!I10</f>
        <v>8</v>
      </c>
      <c r="L50" s="378">
        <f t="shared" si="0"/>
        <v>8</v>
      </c>
    </row>
    <row r="51" spans="1:21" s="300" customFormat="1" ht="22.5" customHeight="1" x14ac:dyDescent="0.55000000000000004">
      <c r="A51" s="366"/>
      <c r="B51" s="373" t="s">
        <v>419</v>
      </c>
      <c r="C51" s="374" t="s">
        <v>417</v>
      </c>
      <c r="D51" s="375">
        <f>'แบบข้อตกลง TOR (ป.วช.-01)'!I64</f>
        <v>2</v>
      </c>
      <c r="E51" s="2537">
        <f>'2. วิจัยและงานวิชาการอื่น'!H11</f>
        <v>0</v>
      </c>
      <c r="F51" s="2538"/>
      <c r="G51" s="2539"/>
      <c r="H51" s="2753"/>
      <c r="I51" s="2754"/>
      <c r="J51" s="376">
        <v>3</v>
      </c>
      <c r="K51" s="377">
        <f>'2. วิจัยและงานวิชาการอื่น'!I11</f>
        <v>0</v>
      </c>
      <c r="L51" s="378">
        <f t="shared" si="0"/>
        <v>0</v>
      </c>
    </row>
    <row r="52" spans="1:21" s="300" customFormat="1" ht="22.5" customHeight="1" x14ac:dyDescent="0.55000000000000004">
      <c r="A52" s="366"/>
      <c r="B52" s="373" t="s">
        <v>420</v>
      </c>
      <c r="C52" s="374" t="s">
        <v>417</v>
      </c>
      <c r="D52" s="375">
        <f>'แบบข้อตกลง TOR (ป.วช.-01)'!I65</f>
        <v>0</v>
      </c>
      <c r="E52" s="2537">
        <f>'2. วิจัยและงานวิชาการอื่น'!H12</f>
        <v>0</v>
      </c>
      <c r="F52" s="2538"/>
      <c r="G52" s="2539"/>
      <c r="H52" s="2753"/>
      <c r="I52" s="2754"/>
      <c r="J52" s="376">
        <v>4</v>
      </c>
      <c r="K52" s="377">
        <f>'2. วิจัยและงานวิชาการอื่น'!I12</f>
        <v>0</v>
      </c>
      <c r="L52" s="378">
        <f t="shared" si="0"/>
        <v>0</v>
      </c>
    </row>
    <row r="53" spans="1:21" s="300" customFormat="1" ht="22.5" customHeight="1" x14ac:dyDescent="0.55000000000000004">
      <c r="A53" s="379"/>
      <c r="B53" s="380" t="s">
        <v>421</v>
      </c>
      <c r="C53" s="381" t="s">
        <v>417</v>
      </c>
      <c r="D53" s="382">
        <f>'แบบข้อตกลง TOR (ป.วช.-01)'!I66</f>
        <v>0</v>
      </c>
      <c r="E53" s="2540">
        <f>'2. วิจัยและงานวิชาการอื่น'!H13</f>
        <v>0</v>
      </c>
      <c r="F53" s="2541"/>
      <c r="G53" s="2542"/>
      <c r="H53" s="2755"/>
      <c r="I53" s="2756"/>
      <c r="J53" s="383">
        <v>5</v>
      </c>
      <c r="K53" s="384">
        <f>'2. วิจัยและงานวิชาการอื่น'!I13</f>
        <v>0</v>
      </c>
      <c r="L53" s="385">
        <f t="shared" si="0"/>
        <v>0</v>
      </c>
    </row>
    <row r="54" spans="1:21" s="300" customFormat="1" ht="22.5" x14ac:dyDescent="0.55000000000000004">
      <c r="A54" s="2089" t="s">
        <v>157</v>
      </c>
      <c r="B54" s="2084" t="s">
        <v>203</v>
      </c>
      <c r="C54" s="2085"/>
      <c r="D54" s="2086">
        <f>'แบบข้อตกลง TOR (ป.วช.-01)'!I69</f>
        <v>5</v>
      </c>
      <c r="E54" s="2509"/>
      <c r="F54" s="2510"/>
      <c r="G54" s="2510"/>
      <c r="H54" s="2511"/>
      <c r="I54" s="2511"/>
      <c r="J54" s="2087">
        <f>'แบบข้อตกลง TOR (ป.วช.-01)'!K69</f>
        <v>5</v>
      </c>
      <c r="K54" s="2087">
        <f>สรุปภาระงาน!L125</f>
        <v>5</v>
      </c>
      <c r="L54" s="2088"/>
      <c r="N54" s="2465" t="s">
        <v>422</v>
      </c>
      <c r="O54" s="2466"/>
      <c r="P54" s="2466"/>
      <c r="Q54" s="2466"/>
      <c r="R54" s="2466"/>
      <c r="S54" s="2466"/>
      <c r="T54" s="2466"/>
      <c r="U54" s="2467"/>
    </row>
    <row r="55" spans="1:21" s="300" customFormat="1" ht="81" customHeight="1" x14ac:dyDescent="0.55000000000000004">
      <c r="A55" s="359" t="s">
        <v>171</v>
      </c>
      <c r="B55" s="2513" t="str">
        <f>'แบบข้อตกลง TOR (ป.วช.-01)'!B70:C70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5" s="2514"/>
      <c r="D55" s="336">
        <f>'แบบข้อตกลง TOR (ป.วช.-01)'!AP22</f>
        <v>2.5</v>
      </c>
      <c r="E55" s="2516" t="str">
        <f>สรุปภาระงาน!K122</f>
        <v>มี</v>
      </c>
      <c r="F55" s="2517"/>
      <c r="G55" s="2518"/>
      <c r="H55" s="2519"/>
      <c r="I55" s="2520"/>
      <c r="J55" s="360">
        <f>'แบบข้อตกลง TOR (ป.วช.-01)'!K70</f>
        <v>2.5</v>
      </c>
      <c r="K55" s="336">
        <f>สรุปภาระงาน!L122</f>
        <v>2.5</v>
      </c>
      <c r="L55" s="361">
        <f>K55</f>
        <v>2.5</v>
      </c>
      <c r="N55" s="314"/>
      <c r="O55" s="315"/>
      <c r="P55" s="315"/>
      <c r="Q55" s="315"/>
      <c r="R55" s="315"/>
      <c r="S55" s="315"/>
      <c r="T55" s="315"/>
      <c r="U55" s="317"/>
    </row>
    <row r="56" spans="1:21" s="300" customFormat="1" ht="57" customHeight="1" x14ac:dyDescent="0.55000000000000004">
      <c r="A56" s="2512" t="s">
        <v>177</v>
      </c>
      <c r="B56" s="2513" t="str">
        <f>'แบบข้อตกลง TOR (ป.วช.-01)'!B71:C71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6" s="2514"/>
      <c r="D56" s="2515">
        <f>'แบบข้อตกลง TOR (ป.วช.-01)'!AQ22</f>
        <v>2.5</v>
      </c>
      <c r="E56" s="2516" t="str">
        <f>สรุปภาระงาน!K123</f>
        <v>ไม่มี</v>
      </c>
      <c r="F56" s="2517"/>
      <c r="G56" s="2518"/>
      <c r="H56" s="2519"/>
      <c r="I56" s="2520"/>
      <c r="J56" s="2515">
        <f>'แบบข้อตกลง TOR (ป.วช.-01)'!K71</f>
        <v>2.5</v>
      </c>
      <c r="K56" s="2515">
        <f>สรุปภาระงาน!L123</f>
        <v>2.5</v>
      </c>
      <c r="L56" s="2531">
        <f>K56</f>
        <v>2.5</v>
      </c>
      <c r="N56" s="314"/>
      <c r="O56" s="315"/>
      <c r="P56" s="315"/>
      <c r="Q56" s="315"/>
      <c r="R56" s="315"/>
      <c r="S56" s="315"/>
      <c r="T56" s="315"/>
      <c r="U56" s="317"/>
    </row>
    <row r="57" spans="1:21" s="300" customFormat="1" ht="56.25" customHeight="1" x14ac:dyDescent="0.55000000000000004">
      <c r="A57" s="2512"/>
      <c r="B57" s="2513" t="str">
        <f>'แบบข้อตกลง TOR (ป.วช.-01)'!B72:C72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7" s="2514"/>
      <c r="D57" s="2515"/>
      <c r="E57" s="2516" t="str">
        <f>สรุปภาระงาน!K124</f>
        <v>มี</v>
      </c>
      <c r="F57" s="2517"/>
      <c r="G57" s="2518"/>
      <c r="H57" s="2519"/>
      <c r="I57" s="2520"/>
      <c r="J57" s="2515"/>
      <c r="K57" s="2515"/>
      <c r="L57" s="2531"/>
      <c r="N57" s="314"/>
      <c r="O57" s="315"/>
      <c r="P57" s="315"/>
      <c r="Q57" s="315"/>
      <c r="R57" s="315"/>
      <c r="S57" s="315"/>
      <c r="T57" s="315"/>
      <c r="U57" s="317"/>
    </row>
    <row r="58" spans="1:21" s="300" customFormat="1" ht="22.5" customHeight="1" x14ac:dyDescent="0.55000000000000004">
      <c r="A58" s="2546"/>
      <c r="B58" s="2547"/>
      <c r="C58" s="2547"/>
      <c r="D58" s="386"/>
      <c r="E58" s="387"/>
      <c r="F58" s="387"/>
      <c r="G58" s="387"/>
      <c r="H58" s="388"/>
      <c r="I58" s="389"/>
      <c r="J58" s="390"/>
      <c r="K58" s="391" t="s">
        <v>424</v>
      </c>
      <c r="L58" s="392">
        <f>SUM(L36:L39)+SUM(L40:L43)+SUM(L47:L48)+SUM(L55:L57)</f>
        <v>22</v>
      </c>
      <c r="N58" s="314"/>
      <c r="O58" s="315"/>
      <c r="P58" s="315"/>
      <c r="Q58" s="315"/>
      <c r="R58" s="315"/>
      <c r="S58" s="315"/>
      <c r="T58" s="315"/>
      <c r="U58" s="317"/>
    </row>
    <row r="59" spans="1:21" s="300" customFormat="1" ht="22.5" customHeight="1" x14ac:dyDescent="0.55000000000000004">
      <c r="A59" s="393"/>
      <c r="B59" s="394"/>
      <c r="C59" s="394"/>
      <c r="D59" s="386"/>
      <c r="E59" s="387"/>
      <c r="F59" s="387"/>
      <c r="G59" s="387"/>
      <c r="H59" s="388"/>
      <c r="I59" s="388"/>
      <c r="J59" s="395"/>
      <c r="K59" s="391" t="str">
        <f>IF(C11="ไม่มี","","(ซ)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 ตามตำแหน่งบริหาร</v>
      </c>
      <c r="L59" s="396">
        <f>IF(C11="ไม่มี","",IF(L58&gt;'แบบข้อตกลง TOR (ป.วช.-01)'!K74,'แบบข้อตกลง TOR (ป.วช.-01)'!K74,L58))</f>
        <v>20</v>
      </c>
      <c r="N59" s="314"/>
      <c r="O59" s="315"/>
      <c r="P59" s="315"/>
      <c r="Q59" s="315"/>
      <c r="R59" s="315"/>
      <c r="S59" s="315"/>
      <c r="T59" s="315"/>
      <c r="U59" s="317"/>
    </row>
    <row r="60" spans="1:21" s="300" customFormat="1" ht="22.5" x14ac:dyDescent="0.55000000000000004">
      <c r="A60" s="2497" t="s">
        <v>425</v>
      </c>
      <c r="B60" s="2498"/>
      <c r="C60" s="2498"/>
      <c r="D60" s="2498"/>
      <c r="E60" s="2498"/>
      <c r="F60" s="2498"/>
      <c r="G60" s="2498"/>
      <c r="H60" s="2498"/>
      <c r="I60" s="2498"/>
      <c r="J60" s="2498"/>
      <c r="K60" s="2499"/>
      <c r="L60" s="344">
        <f>IF(L59="",L31+L58,L31+L59)</f>
        <v>40</v>
      </c>
      <c r="N60" s="331"/>
      <c r="O60" s="332"/>
      <c r="P60" s="332"/>
      <c r="Q60" s="332"/>
      <c r="R60" s="332"/>
      <c r="S60" s="332"/>
      <c r="T60" s="332"/>
      <c r="U60" s="333"/>
    </row>
    <row r="61" spans="1:21" s="300" customFormat="1" ht="22.5" customHeight="1" x14ac:dyDescent="0.55000000000000004">
      <c r="A61" s="397" t="str">
        <f>'แบบข้อตกลง TOR (ป.วช.-01)'!A75:Q75</f>
        <v>3. ภาระงานระดับหลักสูตร คณะ และมหาวิทยาลัยที่ได้รับมอบหมาย  (ร้อยละ 10)</v>
      </c>
      <c r="B61" s="398"/>
      <c r="C61" s="397"/>
      <c r="D61" s="398"/>
      <c r="E61" s="398"/>
      <c r="F61" s="398"/>
      <c r="G61" s="398"/>
      <c r="H61" s="398"/>
      <c r="I61" s="398"/>
      <c r="J61" s="398"/>
      <c r="K61" s="398"/>
      <c r="L61" s="399"/>
    </row>
    <row r="62" spans="1:21" s="300" customFormat="1" ht="36.75" customHeight="1" x14ac:dyDescent="0.55000000000000004">
      <c r="A62" s="2558" t="s">
        <v>139</v>
      </c>
      <c r="B62" s="2558"/>
      <c r="C62" s="2558"/>
      <c r="D62" s="2559" t="s">
        <v>394</v>
      </c>
      <c r="E62" s="2561" t="s">
        <v>395</v>
      </c>
      <c r="F62" s="2562"/>
      <c r="G62" s="2563"/>
      <c r="H62" s="2567" t="s">
        <v>396</v>
      </c>
      <c r="I62" s="2568"/>
      <c r="J62" s="2559" t="s">
        <v>426</v>
      </c>
      <c r="K62" s="2559" t="s">
        <v>398</v>
      </c>
      <c r="L62" s="2090" t="s">
        <v>411</v>
      </c>
    </row>
    <row r="63" spans="1:21" s="402" customFormat="1" ht="33" customHeight="1" x14ac:dyDescent="0.55000000000000004">
      <c r="A63" s="2558"/>
      <c r="B63" s="2558"/>
      <c r="C63" s="2558"/>
      <c r="D63" s="2560"/>
      <c r="E63" s="2564"/>
      <c r="F63" s="2565"/>
      <c r="G63" s="2566"/>
      <c r="H63" s="2569"/>
      <c r="I63" s="2570"/>
      <c r="J63" s="2560"/>
      <c r="K63" s="2560"/>
      <c r="L63" s="2091"/>
      <c r="N63" s="300"/>
      <c r="O63" s="300"/>
      <c r="P63" s="300"/>
      <c r="Q63" s="300"/>
      <c r="R63" s="300"/>
      <c r="S63" s="300"/>
      <c r="T63" s="300"/>
    </row>
    <row r="64" spans="1:21" s="300" customFormat="1" ht="22.5" x14ac:dyDescent="0.55000000000000004">
      <c r="A64" s="2092" t="s">
        <v>150</v>
      </c>
      <c r="B64" s="2093" t="s">
        <v>427</v>
      </c>
      <c r="C64" s="2094"/>
      <c r="D64" s="2095"/>
      <c r="E64" s="2095"/>
      <c r="F64" s="2095"/>
      <c r="G64" s="2095"/>
      <c r="H64" s="2095"/>
      <c r="I64" s="2095"/>
      <c r="J64" s="2095"/>
      <c r="K64" s="2095"/>
      <c r="L64" s="2096"/>
    </row>
    <row r="65" spans="1:21" s="300" customFormat="1" ht="90.75" customHeight="1" x14ac:dyDescent="0.55000000000000004">
      <c r="A65" s="2019"/>
      <c r="B65" s="2548" t="s">
        <v>1327</v>
      </c>
      <c r="C65" s="2549"/>
      <c r="D65" s="404">
        <f>'แบบข้อตกลง TOR (ป.วช.-01)'!I79</f>
        <v>3</v>
      </c>
      <c r="E65" s="2550"/>
      <c r="F65" s="2551"/>
      <c r="G65" s="2552"/>
      <c r="H65" s="2519"/>
      <c r="I65" s="2520"/>
      <c r="J65" s="404">
        <f>'แบบข้อตกลง TOR (ป.วช.-01)'!K79</f>
        <v>5</v>
      </c>
      <c r="K65" s="2003">
        <v>4</v>
      </c>
      <c r="L65" s="405">
        <f>IFERROR(J65*K65,0)</f>
        <v>20</v>
      </c>
    </row>
    <row r="66" spans="1:21" s="300" customFormat="1" ht="22.5" x14ac:dyDescent="0.55000000000000004">
      <c r="A66" s="2092" t="s">
        <v>154</v>
      </c>
      <c r="B66" s="2093" t="s">
        <v>428</v>
      </c>
      <c r="C66" s="2097"/>
      <c r="D66" s="2098"/>
      <c r="E66" s="2099"/>
      <c r="F66" s="2098"/>
      <c r="G66" s="2098"/>
      <c r="H66" s="2098"/>
      <c r="I66" s="2098"/>
      <c r="J66" s="2100"/>
      <c r="K66" s="2100"/>
      <c r="L66" s="2101"/>
    </row>
    <row r="67" spans="1:21" s="300" customFormat="1" ht="45" customHeight="1" x14ac:dyDescent="0.55000000000000004">
      <c r="A67" s="403"/>
      <c r="B67" s="2553" t="s">
        <v>213</v>
      </c>
      <c r="C67" s="2554"/>
      <c r="D67" s="406">
        <f>'แบบข้อตกลง TOR (ป.วช.-01)'!I83</f>
        <v>3</v>
      </c>
      <c r="E67" s="2555">
        <f>สรุปภาระงาน!L138+สรุปภาระงาน!L139+สรุปภาระงาน!L140</f>
        <v>2</v>
      </c>
      <c r="F67" s="2556"/>
      <c r="G67" s="2557"/>
      <c r="H67" s="2519"/>
      <c r="I67" s="2520"/>
      <c r="J67" s="404">
        <f>'แบบข้อตกลง TOR (ป.วช.-01)'!K83</f>
        <v>2</v>
      </c>
      <c r="K67" s="2003">
        <v>4</v>
      </c>
      <c r="L67" s="405">
        <f>IFERROR(J67*K67,0)</f>
        <v>8</v>
      </c>
    </row>
    <row r="68" spans="1:21" s="300" customFormat="1" ht="43.5" customHeight="1" x14ac:dyDescent="0.55000000000000004">
      <c r="A68" s="403"/>
      <c r="B68" s="2588" t="s">
        <v>214</v>
      </c>
      <c r="C68" s="2589"/>
      <c r="D68" s="406">
        <f>'แบบข้อตกลง TOR (ป.วช.-01)'!I84</f>
        <v>3</v>
      </c>
      <c r="E68" s="2555">
        <f>สรุปภาระงาน!L141</f>
        <v>1.7333333333333334</v>
      </c>
      <c r="F68" s="2590"/>
      <c r="G68" s="2591"/>
      <c r="H68" s="2519"/>
      <c r="I68" s="2520"/>
      <c r="J68" s="404">
        <f>'แบบข้อตกลง TOR (ป.วช.-01)'!K84</f>
        <v>2</v>
      </c>
      <c r="K68" s="2003">
        <v>4</v>
      </c>
      <c r="L68" s="405">
        <f>IFERROR(J68*K68,0)</f>
        <v>8</v>
      </c>
      <c r="N68" s="326"/>
      <c r="O68" s="326"/>
      <c r="P68" s="326"/>
      <c r="Q68" s="326"/>
      <c r="R68" s="326"/>
      <c r="S68" s="326"/>
      <c r="T68" s="326"/>
    </row>
    <row r="69" spans="1:21" s="300" customFormat="1" ht="22.5" customHeight="1" x14ac:dyDescent="0.55000000000000004">
      <c r="A69" s="407"/>
      <c r="B69" s="2588" t="s">
        <v>215</v>
      </c>
      <c r="C69" s="2589"/>
      <c r="D69" s="406">
        <f>'แบบข้อตกลง TOR (ป.วช.-01)'!I85</f>
        <v>3</v>
      </c>
      <c r="E69" s="2555">
        <f>สรุปภาระงาน!L142</f>
        <v>6.6666666666666666E-2</v>
      </c>
      <c r="F69" s="2556"/>
      <c r="G69" s="2557"/>
      <c r="H69" s="2519"/>
      <c r="I69" s="2520"/>
      <c r="J69" s="404">
        <f>'แบบข้อตกลง TOR (ป.วช.-01)'!K85</f>
        <v>1</v>
      </c>
      <c r="K69" s="2003">
        <v>4</v>
      </c>
      <c r="L69" s="405">
        <f>IFERROR(J69*K69,0)</f>
        <v>4</v>
      </c>
    </row>
    <row r="70" spans="1:21" s="300" customFormat="1" ht="22.5" x14ac:dyDescent="0.55000000000000004">
      <c r="A70" s="2608" t="s">
        <v>429</v>
      </c>
      <c r="B70" s="2609"/>
      <c r="C70" s="2609"/>
      <c r="D70" s="2609"/>
      <c r="E70" s="2609"/>
      <c r="F70" s="2609"/>
      <c r="G70" s="2609"/>
      <c r="H70" s="2609"/>
      <c r="I70" s="2609"/>
      <c r="J70" s="2609"/>
      <c r="K70" s="2610"/>
      <c r="L70" s="408">
        <f>(L65+SUM(L67:L69))/5</f>
        <v>8</v>
      </c>
    </row>
    <row r="71" spans="1:21" s="300" customFormat="1" ht="22.5" customHeight="1" x14ac:dyDescent="0.6">
      <c r="A71" s="2571" t="str">
        <f>'แบบข้อตกลง TOR (ป.วช.-01)'!A86:Q86</f>
        <v>4. การประเมินการพัฒนาตนเอง  (ร้อยละ 5)</v>
      </c>
      <c r="B71" s="2572"/>
      <c r="C71" s="2572"/>
      <c r="D71" s="2572"/>
      <c r="E71" s="2572"/>
      <c r="F71" s="2572"/>
      <c r="G71" s="2572"/>
      <c r="H71" s="2572"/>
      <c r="I71" s="2572"/>
      <c r="J71" s="2572"/>
      <c r="K71" s="2572"/>
      <c r="L71" s="2573"/>
      <c r="N71" s="330"/>
      <c r="O71" s="330"/>
      <c r="P71" s="330"/>
      <c r="Q71" s="330"/>
      <c r="R71" s="330"/>
      <c r="S71" s="330"/>
      <c r="T71" s="330"/>
    </row>
    <row r="72" spans="1:21" s="300" customFormat="1" ht="36.75" customHeight="1" x14ac:dyDescent="0.55000000000000004">
      <c r="A72" s="2574" t="s">
        <v>139</v>
      </c>
      <c r="B72" s="2575"/>
      <c r="C72" s="2576"/>
      <c r="D72" s="2580" t="s">
        <v>394</v>
      </c>
      <c r="E72" s="2582" t="s">
        <v>395</v>
      </c>
      <c r="F72" s="2583"/>
      <c r="G72" s="2584"/>
      <c r="H72" s="2574" t="s">
        <v>396</v>
      </c>
      <c r="I72" s="2576"/>
      <c r="J72" s="2580" t="s">
        <v>426</v>
      </c>
      <c r="K72" s="2580" t="s">
        <v>398</v>
      </c>
      <c r="L72" s="400" t="s">
        <v>411</v>
      </c>
    </row>
    <row r="73" spans="1:21" s="300" customFormat="1" ht="36.75" customHeight="1" x14ac:dyDescent="0.55000000000000004">
      <c r="A73" s="2577"/>
      <c r="B73" s="2578"/>
      <c r="C73" s="2579"/>
      <c r="D73" s="2581"/>
      <c r="E73" s="2585"/>
      <c r="F73" s="2586"/>
      <c r="G73" s="2587"/>
      <c r="H73" s="2577"/>
      <c r="I73" s="2579"/>
      <c r="J73" s="2581"/>
      <c r="K73" s="2581"/>
      <c r="L73" s="401"/>
    </row>
    <row r="74" spans="1:21" s="300" customFormat="1" ht="44.25" customHeight="1" x14ac:dyDescent="0.55000000000000004">
      <c r="A74" s="2758" t="s">
        <v>218</v>
      </c>
      <c r="B74" s="2759"/>
      <c r="C74" s="2760"/>
      <c r="D74" s="2624">
        <f>'แบบข้อตกลง TOR (ป.วช.-01)'!I89</f>
        <v>3</v>
      </c>
      <c r="E74" s="2492"/>
      <c r="F74" s="2764"/>
      <c r="G74" s="2493"/>
      <c r="H74" s="2492"/>
      <c r="I74" s="2493"/>
      <c r="J74" s="2624">
        <f>'แบบข้อตกลง TOR (ป.วช.-01)'!K89</f>
        <v>5</v>
      </c>
      <c r="K74" s="2626">
        <v>5</v>
      </c>
      <c r="L74" s="2628">
        <f>J74*K74</f>
        <v>25</v>
      </c>
    </row>
    <row r="75" spans="1:21" s="300" customFormat="1" ht="22.5" customHeight="1" x14ac:dyDescent="0.55000000000000004">
      <c r="A75" s="2761"/>
      <c r="B75" s="2762"/>
      <c r="C75" s="2763"/>
      <c r="D75" s="2625"/>
      <c r="E75" s="2749"/>
      <c r="F75" s="2765"/>
      <c r="G75" s="2750"/>
      <c r="H75" s="2749"/>
      <c r="I75" s="2750"/>
      <c r="J75" s="2625"/>
      <c r="K75" s="2627"/>
      <c r="L75" s="2629"/>
    </row>
    <row r="76" spans="1:21" s="326" customFormat="1" ht="22.5" x14ac:dyDescent="0.55000000000000004">
      <c r="A76" s="2766" t="s">
        <v>430</v>
      </c>
      <c r="B76" s="2767"/>
      <c r="C76" s="2767"/>
      <c r="D76" s="2767"/>
      <c r="E76" s="2767"/>
      <c r="F76" s="2767"/>
      <c r="G76" s="2767"/>
      <c r="H76" s="2767"/>
      <c r="I76" s="2767"/>
      <c r="J76" s="2767"/>
      <c r="K76" s="2768"/>
      <c r="L76" s="408">
        <f>SUM(L74)/5</f>
        <v>5</v>
      </c>
    </row>
    <row r="77" spans="1:21" s="300" customFormat="1" ht="22.5" customHeight="1" x14ac:dyDescent="0.55000000000000004">
      <c r="A77" s="2571" t="str">
        <f>'แบบข้อตกลง TOR (ป.วช.-01)'!A95:Q95</f>
        <v>5. ผลการประเมินการประกันคุณภาพของหลักสูตร  (ร้อยละ 5)</v>
      </c>
      <c r="B77" s="2572"/>
      <c r="C77" s="2572"/>
      <c r="D77" s="2572"/>
      <c r="E77" s="2572"/>
      <c r="F77" s="2572"/>
      <c r="G77" s="2572"/>
      <c r="H77" s="2572"/>
      <c r="I77" s="2572"/>
      <c r="J77" s="2572"/>
      <c r="K77" s="2572"/>
      <c r="L77" s="2573"/>
      <c r="N77" s="2465" t="s">
        <v>1237</v>
      </c>
      <c r="O77" s="2466"/>
      <c r="P77" s="2466"/>
      <c r="Q77" s="2466"/>
      <c r="R77" s="2466"/>
      <c r="S77" s="2466"/>
      <c r="T77" s="2466"/>
      <c r="U77" s="2467"/>
    </row>
    <row r="78" spans="1:21" s="300" customFormat="1" ht="37.5" customHeight="1" x14ac:dyDescent="0.55000000000000004">
      <c r="A78" s="2757" t="s">
        <v>139</v>
      </c>
      <c r="B78" s="2757"/>
      <c r="C78" s="2757"/>
      <c r="D78" s="2580" t="s">
        <v>394</v>
      </c>
      <c r="E78" s="2582" t="s">
        <v>395</v>
      </c>
      <c r="F78" s="2583"/>
      <c r="G78" s="2584"/>
      <c r="H78" s="2574" t="s">
        <v>396</v>
      </c>
      <c r="I78" s="2576"/>
      <c r="J78" s="2580" t="s">
        <v>426</v>
      </c>
      <c r="K78" s="2580" t="s">
        <v>398</v>
      </c>
      <c r="L78" s="400" t="s">
        <v>411</v>
      </c>
      <c r="N78" s="314"/>
      <c r="O78" s="315"/>
      <c r="P78" s="315"/>
      <c r="Q78" s="315"/>
      <c r="R78" s="315"/>
      <c r="S78" s="315"/>
      <c r="T78" s="315"/>
      <c r="U78" s="317"/>
    </row>
    <row r="79" spans="1:21" s="330" customFormat="1" ht="32.25" customHeight="1" x14ac:dyDescent="0.6">
      <c r="A79" s="2757"/>
      <c r="B79" s="2757"/>
      <c r="C79" s="2757"/>
      <c r="D79" s="2581"/>
      <c r="E79" s="2585"/>
      <c r="F79" s="2586"/>
      <c r="G79" s="2587"/>
      <c r="H79" s="2577"/>
      <c r="I79" s="2579"/>
      <c r="J79" s="2581"/>
      <c r="K79" s="2581"/>
      <c r="L79" s="401"/>
      <c r="N79" s="314"/>
      <c r="O79" s="315"/>
      <c r="P79" s="315"/>
      <c r="Q79" s="315"/>
      <c r="R79" s="315"/>
      <c r="S79" s="315"/>
      <c r="T79" s="315"/>
      <c r="U79" s="317"/>
    </row>
    <row r="80" spans="1:21" s="300" customFormat="1" ht="24.75" customHeight="1" x14ac:dyDescent="0.55000000000000004">
      <c r="A80" s="410" t="s">
        <v>228</v>
      </c>
      <c r="B80" s="411"/>
      <c r="C80" s="412"/>
      <c r="D80" s="2622">
        <f>'แบบข้อตกลง TOR (ป.วช.-01)'!I98</f>
        <v>2.5</v>
      </c>
      <c r="E80" s="2602" t="s">
        <v>431</v>
      </c>
      <c r="F80" s="2603"/>
      <c r="G80" s="2604"/>
      <c r="H80" s="2492"/>
      <c r="I80" s="2493"/>
      <c r="J80" s="2624">
        <f>'แบบข้อตกลง TOR (ป.วช.-01)'!K98</f>
        <v>5</v>
      </c>
      <c r="K80" s="2626">
        <v>3.04</v>
      </c>
      <c r="L80" s="2628">
        <f>K80*J80</f>
        <v>15.2</v>
      </c>
      <c r="N80" s="314"/>
      <c r="O80" s="315"/>
      <c r="P80" s="315"/>
      <c r="Q80" s="315"/>
      <c r="R80" s="315"/>
      <c r="S80" s="315"/>
      <c r="T80" s="315"/>
      <c r="U80" s="317"/>
    </row>
    <row r="81" spans="1:21" s="300" customFormat="1" ht="22.5" x14ac:dyDescent="0.55000000000000004">
      <c r="A81" s="2602" t="str">
        <f>'แบบข้อตกลง TOR (ป.วช.-01)'!A99:C99</f>
        <v>หลักสูตร ประจำปี 2560</v>
      </c>
      <c r="B81" s="2603"/>
      <c r="C81" s="2604"/>
      <c r="D81" s="2623"/>
      <c r="E81" s="2605">
        <v>3.04</v>
      </c>
      <c r="F81" s="2606"/>
      <c r="G81" s="2607"/>
      <c r="H81" s="2749"/>
      <c r="I81" s="2750"/>
      <c r="J81" s="2625"/>
      <c r="K81" s="2627"/>
      <c r="L81" s="2629"/>
      <c r="N81" s="314"/>
      <c r="O81" s="315"/>
      <c r="P81" s="315"/>
      <c r="Q81" s="315"/>
      <c r="R81" s="315"/>
      <c r="S81" s="315"/>
      <c r="T81" s="315"/>
      <c r="U81" s="317"/>
    </row>
    <row r="82" spans="1:21" s="326" customFormat="1" ht="22.5" x14ac:dyDescent="0.55000000000000004">
      <c r="A82" s="2608" t="s">
        <v>432</v>
      </c>
      <c r="B82" s="2609"/>
      <c r="C82" s="2609"/>
      <c r="D82" s="2609"/>
      <c r="E82" s="2609"/>
      <c r="F82" s="2609"/>
      <c r="G82" s="2609"/>
      <c r="H82" s="2609"/>
      <c r="I82" s="2609"/>
      <c r="J82" s="2609"/>
      <c r="K82" s="2610"/>
      <c r="L82" s="408">
        <f>L80/5</f>
        <v>3.04</v>
      </c>
      <c r="N82" s="314"/>
      <c r="O82" s="315"/>
      <c r="P82" s="315"/>
      <c r="Q82" s="315"/>
      <c r="R82" s="315"/>
      <c r="S82" s="315"/>
      <c r="T82" s="315"/>
      <c r="U82" s="317"/>
    </row>
    <row r="83" spans="1:21" s="300" customFormat="1" ht="22.5" customHeight="1" x14ac:dyDescent="0.55000000000000004">
      <c r="A83" s="2571" t="str">
        <f>'แบบข้อตกลง TOR (ป.วช.-01)'!A100:Q100</f>
        <v>6. ภาระงานเชิงยุทธศาสตร์ของหน่วยงาน/มหาวิทยาลัย  (ร้อยละ 10)</v>
      </c>
      <c r="B83" s="2572"/>
      <c r="C83" s="2572"/>
      <c r="D83" s="2572"/>
      <c r="E83" s="2572"/>
      <c r="F83" s="2572"/>
      <c r="G83" s="2572"/>
      <c r="H83" s="2572"/>
      <c r="I83" s="2572"/>
      <c r="J83" s="2572"/>
      <c r="K83" s="2572"/>
      <c r="L83" s="2573"/>
      <c r="N83" s="314"/>
      <c r="O83" s="315"/>
      <c r="P83" s="315"/>
      <c r="Q83" s="315"/>
      <c r="R83" s="315"/>
      <c r="S83" s="315"/>
      <c r="T83" s="315"/>
      <c r="U83" s="317"/>
    </row>
    <row r="84" spans="1:21" s="300" customFormat="1" ht="27" customHeight="1" x14ac:dyDescent="0.55000000000000004">
      <c r="A84" s="2611" t="s">
        <v>139</v>
      </c>
      <c r="B84" s="2611"/>
      <c r="C84" s="2611"/>
      <c r="D84" s="2592" t="s">
        <v>394</v>
      </c>
      <c r="E84" s="2612" t="s">
        <v>395</v>
      </c>
      <c r="F84" s="2613"/>
      <c r="G84" s="2614"/>
      <c r="H84" s="2618" t="s">
        <v>396</v>
      </c>
      <c r="I84" s="2619"/>
      <c r="J84" s="2592" t="s">
        <v>426</v>
      </c>
      <c r="K84" s="2592" t="s">
        <v>398</v>
      </c>
      <c r="L84" s="413" t="s">
        <v>433</v>
      </c>
      <c r="N84" s="314"/>
      <c r="O84" s="315"/>
      <c r="P84" s="315"/>
      <c r="Q84" s="315"/>
      <c r="R84" s="315"/>
      <c r="S84" s="315"/>
      <c r="T84" s="315"/>
      <c r="U84" s="317"/>
    </row>
    <row r="85" spans="1:21" s="326" customFormat="1" ht="44.25" customHeight="1" x14ac:dyDescent="0.55000000000000004">
      <c r="A85" s="2611"/>
      <c r="B85" s="2611"/>
      <c r="C85" s="2611"/>
      <c r="D85" s="2593"/>
      <c r="E85" s="2615"/>
      <c r="F85" s="2616"/>
      <c r="G85" s="2617"/>
      <c r="H85" s="2620"/>
      <c r="I85" s="2621"/>
      <c r="J85" s="2593"/>
      <c r="K85" s="2593"/>
      <c r="L85" s="414" t="s">
        <v>434</v>
      </c>
      <c r="N85" s="314"/>
      <c r="O85" s="315"/>
      <c r="P85" s="315"/>
      <c r="Q85" s="315"/>
      <c r="R85" s="315"/>
      <c r="S85" s="315"/>
      <c r="T85" s="315"/>
      <c r="U85" s="317"/>
    </row>
    <row r="86" spans="1:21" s="326" customFormat="1" ht="44.25" customHeight="1" x14ac:dyDescent="0.55000000000000004">
      <c r="A86" s="415"/>
      <c r="B86" s="2594" t="str">
        <f>'แบบข้อตกลง TOR (ป.วช.-01)'!B103:C103</f>
        <v>6.1 ระดับความสำเร็จตามคำรับรองการปฎิบัติราชการ</v>
      </c>
      <c r="C86" s="2595"/>
      <c r="D86" s="545">
        <f>'แบบข้อตกลง TOR (ป.วช.-01)'!I103</f>
        <v>3</v>
      </c>
      <c r="E86" s="2596"/>
      <c r="F86" s="2597"/>
      <c r="G86" s="2598"/>
      <c r="H86" s="2630"/>
      <c r="I86" s="2631"/>
      <c r="J86" s="416">
        <v>2.5</v>
      </c>
      <c r="K86" s="2102">
        <v>3.56</v>
      </c>
      <c r="L86" s="416">
        <f>J86*K86</f>
        <v>8.9</v>
      </c>
      <c r="N86" s="331"/>
      <c r="O86" s="332"/>
      <c r="P86" s="332"/>
      <c r="Q86" s="332"/>
      <c r="R86" s="332"/>
      <c r="S86" s="332"/>
      <c r="T86" s="332"/>
      <c r="U86" s="333"/>
    </row>
    <row r="87" spans="1:21" s="326" customFormat="1" ht="44.25" customHeight="1" x14ac:dyDescent="0.55000000000000004">
      <c r="A87" s="415"/>
      <c r="B87" s="2594" t="str">
        <f>'แบบข้อตกลง TOR (ป.วช.-01)'!B104:C104</f>
        <v>6.2 การสนับสนุนงานของหน่วยงานให้สอดคล้องกับยุทธศาสตร์ของมหาวิทยาลัย</v>
      </c>
      <c r="C87" s="2595"/>
      <c r="D87" s="545">
        <f>'แบบข้อตกลง TOR (ป.วช.-01)'!I104</f>
        <v>3</v>
      </c>
      <c r="E87" s="2596"/>
      <c r="F87" s="2597"/>
      <c r="G87" s="2598"/>
      <c r="H87" s="2630"/>
      <c r="I87" s="2631"/>
      <c r="J87" s="416">
        <v>2.5</v>
      </c>
      <c r="K87" s="2102">
        <v>3.29</v>
      </c>
      <c r="L87" s="416">
        <f>J87*K87</f>
        <v>8.2249999999999996</v>
      </c>
      <c r="N87" s="300"/>
      <c r="O87" s="300"/>
      <c r="P87" s="300"/>
      <c r="Q87" s="300"/>
      <c r="R87" s="300"/>
      <c r="S87" s="300"/>
      <c r="T87" s="300"/>
    </row>
    <row r="88" spans="1:21" s="300" customFormat="1" ht="43.5" customHeight="1" x14ac:dyDescent="0.55000000000000004">
      <c r="A88" s="417"/>
      <c r="B88" s="2599" t="str">
        <f>'แบบข้อตกลง TOR (ป.วช.-01)'!B105:C105</f>
        <v>6.3 การมุ่งสู่ความเป็นมหาวิทยาลัยอินทรีย์ มหาวิทยาลัยสีเขียว มหาวิทยาลัยเชิงนิเวศ</v>
      </c>
      <c r="C88" s="2600"/>
      <c r="D88" s="418">
        <f>'แบบข้อตกลง TOR (ป.วช.-01)'!I105</f>
        <v>3</v>
      </c>
      <c r="E88" s="2519"/>
      <c r="F88" s="2601"/>
      <c r="G88" s="2520"/>
      <c r="H88" s="2519"/>
      <c r="I88" s="2520"/>
      <c r="J88" s="419">
        <f>'แบบข้อตกลง TOR (ป.วช.-01)'!K105</f>
        <v>5</v>
      </c>
      <c r="K88" s="2103">
        <v>3</v>
      </c>
      <c r="L88" s="420">
        <f>J88*K88</f>
        <v>15</v>
      </c>
    </row>
    <row r="89" spans="1:21" s="300" customFormat="1" ht="22.5" x14ac:dyDescent="0.55000000000000004">
      <c r="A89" s="2608" t="s">
        <v>1242</v>
      </c>
      <c r="B89" s="2609"/>
      <c r="C89" s="2609"/>
      <c r="D89" s="2609"/>
      <c r="E89" s="2609"/>
      <c r="F89" s="2609"/>
      <c r="G89" s="2609"/>
      <c r="H89" s="2609"/>
      <c r="I89" s="2609"/>
      <c r="J89" s="2609"/>
      <c r="K89" s="2610"/>
      <c r="L89" s="408">
        <f>SUM(L86:L88)/5</f>
        <v>6.4249999999999998</v>
      </c>
    </row>
    <row r="90" spans="1:21" s="300" customFormat="1" ht="22.5" x14ac:dyDescent="0.55000000000000004">
      <c r="A90" s="2639" t="s">
        <v>435</v>
      </c>
      <c r="B90" s="2640"/>
      <c r="C90" s="2640"/>
      <c r="D90" s="2640"/>
      <c r="E90" s="2640"/>
      <c r="F90" s="2640"/>
      <c r="G90" s="2640"/>
      <c r="H90" s="2640"/>
      <c r="I90" s="2640"/>
      <c r="J90" s="2640"/>
      <c r="K90" s="2641"/>
      <c r="L90" s="421">
        <f>L22+L60+L70+L76+L82+L89</f>
        <v>72.465000000000003</v>
      </c>
    </row>
    <row r="91" spans="1:21" s="300" customFormat="1" ht="22.5" x14ac:dyDescent="0.55000000000000004">
      <c r="C91" s="326"/>
      <c r="D91" s="422"/>
      <c r="E91" s="422"/>
      <c r="F91" s="422"/>
      <c r="G91" s="422"/>
      <c r="H91" s="422"/>
      <c r="I91" s="422"/>
      <c r="J91" s="422"/>
      <c r="K91" s="422"/>
    </row>
    <row r="92" spans="1:21" s="300" customFormat="1" ht="22.5" customHeight="1" x14ac:dyDescent="0.55000000000000004">
      <c r="A92" s="329" t="s">
        <v>436</v>
      </c>
      <c r="C92" s="329"/>
      <c r="D92" s="423"/>
      <c r="E92" s="423"/>
      <c r="F92" s="423"/>
      <c r="G92" s="423"/>
      <c r="H92" s="423"/>
      <c r="I92" s="423"/>
      <c r="J92" s="423"/>
      <c r="K92" s="423"/>
    </row>
    <row r="93" spans="1:21" s="300" customFormat="1" ht="22.5" x14ac:dyDescent="0.55000000000000004">
      <c r="A93" s="2642" t="s">
        <v>437</v>
      </c>
      <c r="B93" s="2642"/>
      <c r="C93" s="2642"/>
      <c r="D93" s="2643" t="s">
        <v>438</v>
      </c>
      <c r="E93" s="2644"/>
      <c r="F93" s="2644"/>
      <c r="G93" s="2644"/>
      <c r="H93" s="2644"/>
      <c r="I93" s="2644"/>
      <c r="J93" s="2645"/>
      <c r="K93" s="2646" t="s">
        <v>439</v>
      </c>
      <c r="L93" s="2647"/>
    </row>
    <row r="94" spans="1:21" s="300" customFormat="1" ht="44.25" customHeight="1" x14ac:dyDescent="0.55000000000000004">
      <c r="A94" s="2642"/>
      <c r="B94" s="2642"/>
      <c r="C94" s="2642"/>
      <c r="D94" s="2650" t="s">
        <v>440</v>
      </c>
      <c r="E94" s="2651"/>
      <c r="F94" s="2650" t="s">
        <v>441</v>
      </c>
      <c r="G94" s="2652"/>
      <c r="H94" s="424" t="s">
        <v>442</v>
      </c>
      <c r="I94" s="425" t="s">
        <v>443</v>
      </c>
      <c r="J94" s="426" t="s">
        <v>444</v>
      </c>
      <c r="K94" s="2648"/>
      <c r="L94" s="2649"/>
    </row>
    <row r="95" spans="1:21" s="300" customFormat="1" ht="22.5" x14ac:dyDescent="0.55000000000000004">
      <c r="A95" s="2653" t="s">
        <v>445</v>
      </c>
      <c r="B95" s="2653"/>
      <c r="C95" s="2653"/>
      <c r="D95" s="427"/>
      <c r="E95" s="428"/>
      <c r="F95" s="429"/>
      <c r="G95" s="429"/>
      <c r="H95" s="430"/>
      <c r="I95" s="431"/>
      <c r="J95" s="430"/>
      <c r="K95" s="432"/>
      <c r="L95" s="433"/>
    </row>
    <row r="96" spans="1:21" s="300" customFormat="1" ht="22.5" x14ac:dyDescent="0.55000000000000004">
      <c r="A96" s="2634" t="s">
        <v>238</v>
      </c>
      <c r="B96" s="2635"/>
      <c r="C96" s="2636"/>
      <c r="D96" s="2654">
        <f>'แบบข้อตกลง TOR (ป.วช.-01)'!D110</f>
        <v>4</v>
      </c>
      <c r="E96" s="2655"/>
      <c r="F96" s="2656">
        <v>6</v>
      </c>
      <c r="G96" s="2657"/>
      <c r="H96" s="2004">
        <v>6</v>
      </c>
      <c r="I96" s="434">
        <f>IF(H96-2&lt;0,"",H96-2)</f>
        <v>4</v>
      </c>
      <c r="J96" s="434">
        <f>IF(I96="","",I96-D96)</f>
        <v>0</v>
      </c>
      <c r="K96" s="2632"/>
      <c r="L96" s="2633"/>
    </row>
    <row r="97" spans="1:20" s="300" customFormat="1" ht="22.5" x14ac:dyDescent="0.55000000000000004">
      <c r="A97" s="2634" t="s">
        <v>242</v>
      </c>
      <c r="B97" s="2635"/>
      <c r="C97" s="2636"/>
      <c r="D97" s="2537">
        <f>'แบบข้อตกลง TOR (ป.วช.-01)'!D111</f>
        <v>3</v>
      </c>
      <c r="E97" s="2539"/>
      <c r="F97" s="2637">
        <v>5</v>
      </c>
      <c r="G97" s="2638"/>
      <c r="H97" s="2005">
        <v>5</v>
      </c>
      <c r="I97" s="434">
        <f>IF(H97-2&lt;0,"",H97-2)</f>
        <v>3</v>
      </c>
      <c r="J97" s="434">
        <f>IF(I97="","",I97-D97)</f>
        <v>0</v>
      </c>
      <c r="K97" s="2011"/>
      <c r="L97" s="2012"/>
    </row>
    <row r="98" spans="1:20" s="300" customFormat="1" ht="22.5" x14ac:dyDescent="0.55000000000000004">
      <c r="A98" s="2634" t="s">
        <v>245</v>
      </c>
      <c r="B98" s="2635"/>
      <c r="C98" s="2636"/>
      <c r="D98" s="2537">
        <f>'แบบข้อตกลง TOR (ป.วช.-01)'!D112</f>
        <v>3</v>
      </c>
      <c r="E98" s="2539"/>
      <c r="F98" s="2637">
        <v>5</v>
      </c>
      <c r="G98" s="2638"/>
      <c r="H98" s="2005">
        <v>5</v>
      </c>
      <c r="I98" s="434">
        <f>IF(H98-2&lt;0,"",H98-2)</f>
        <v>3</v>
      </c>
      <c r="J98" s="434">
        <f>IF(I98="","",I98-D98)</f>
        <v>0</v>
      </c>
      <c r="K98" s="2011"/>
      <c r="L98" s="2012"/>
    </row>
    <row r="99" spans="1:20" s="300" customFormat="1" ht="22.5" x14ac:dyDescent="0.55000000000000004">
      <c r="A99" s="2634" t="s">
        <v>248</v>
      </c>
      <c r="B99" s="2635"/>
      <c r="C99" s="2636"/>
      <c r="D99" s="2537">
        <f>'แบบข้อตกลง TOR (ป.วช.-01)'!D113</f>
        <v>3</v>
      </c>
      <c r="E99" s="2539"/>
      <c r="F99" s="2637">
        <v>7</v>
      </c>
      <c r="G99" s="2638"/>
      <c r="H99" s="2005">
        <v>7</v>
      </c>
      <c r="I99" s="434">
        <f>IF(H99-2&lt;0,"",H99-2)</f>
        <v>5</v>
      </c>
      <c r="J99" s="434">
        <f>IF(I99="","",I99-D99)</f>
        <v>2</v>
      </c>
      <c r="K99" s="2011"/>
      <c r="L99" s="2012"/>
    </row>
    <row r="100" spans="1:20" s="300" customFormat="1" ht="22.5" x14ac:dyDescent="0.55000000000000004">
      <c r="A100" s="2658" t="s">
        <v>252</v>
      </c>
      <c r="B100" s="2659"/>
      <c r="C100" s="2660"/>
      <c r="D100" s="2540">
        <f>'แบบข้อตกลง TOR (ป.วช.-01)'!D114</f>
        <v>3</v>
      </c>
      <c r="E100" s="2542"/>
      <c r="F100" s="2661">
        <v>5</v>
      </c>
      <c r="G100" s="2662"/>
      <c r="H100" s="2006">
        <v>5</v>
      </c>
      <c r="I100" s="434">
        <f>IF(H100-2&lt;0,"",H100-2)</f>
        <v>3</v>
      </c>
      <c r="J100" s="434">
        <f>IF(I100="","",I100-D100)</f>
        <v>0</v>
      </c>
      <c r="K100" s="2013"/>
      <c r="L100" s="2014"/>
    </row>
    <row r="101" spans="1:20" s="300" customFormat="1" ht="22.5" x14ac:dyDescent="0.55000000000000004">
      <c r="A101" s="2663" t="s">
        <v>446</v>
      </c>
      <c r="B101" s="2664"/>
      <c r="C101" s="2665"/>
      <c r="D101" s="427"/>
      <c r="E101" s="428"/>
      <c r="F101" s="435"/>
      <c r="G101" s="435"/>
      <c r="H101" s="436"/>
      <c r="I101" s="437"/>
      <c r="J101" s="438"/>
      <c r="K101" s="2017"/>
      <c r="L101" s="2018"/>
    </row>
    <row r="102" spans="1:20" s="300" customFormat="1" ht="22.5" x14ac:dyDescent="0.55000000000000004">
      <c r="A102" s="2634" t="s">
        <v>239</v>
      </c>
      <c r="B102" s="2635"/>
      <c r="C102" s="2636"/>
      <c r="D102" s="2654">
        <f>'แบบข้อตกลง TOR (ป.วช.-01)'!I110</f>
        <v>3</v>
      </c>
      <c r="E102" s="2655"/>
      <c r="F102" s="2656">
        <v>5</v>
      </c>
      <c r="G102" s="2657"/>
      <c r="H102" s="2004">
        <v>5</v>
      </c>
      <c r="I102" s="434">
        <f>IF(H102-2&lt;0,"",H102-2)</f>
        <v>3</v>
      </c>
      <c r="J102" s="439">
        <f>IF(I102="","",I102-D102)</f>
        <v>0</v>
      </c>
      <c r="K102" s="2015"/>
      <c r="L102" s="2016"/>
    </row>
    <row r="103" spans="1:20" s="300" customFormat="1" ht="22.5" x14ac:dyDescent="0.55000000000000004">
      <c r="A103" s="2634" t="s">
        <v>243</v>
      </c>
      <c r="B103" s="2635"/>
      <c r="C103" s="2636"/>
      <c r="D103" s="2654">
        <f>'แบบข้อตกลง TOR (ป.วช.-01)'!I111</f>
        <v>3</v>
      </c>
      <c r="E103" s="2655"/>
      <c r="F103" s="2656">
        <v>5</v>
      </c>
      <c r="G103" s="2657"/>
      <c r="H103" s="2005">
        <v>5</v>
      </c>
      <c r="I103" s="434">
        <f>IF(H103-2&lt;0,"",H103-2)</f>
        <v>3</v>
      </c>
      <c r="J103" s="439">
        <f>IF(I103="","",I103-D103)</f>
        <v>0</v>
      </c>
      <c r="K103" s="2011"/>
      <c r="L103" s="2012"/>
    </row>
    <row r="104" spans="1:20" s="300" customFormat="1" ht="22.5" x14ac:dyDescent="0.55000000000000004">
      <c r="A104" s="2634" t="s">
        <v>246</v>
      </c>
      <c r="B104" s="2635"/>
      <c r="C104" s="2636"/>
      <c r="D104" s="2654">
        <f>'แบบข้อตกลง TOR (ป.วช.-01)'!I112</f>
        <v>3</v>
      </c>
      <c r="E104" s="2655"/>
      <c r="F104" s="2656">
        <v>5</v>
      </c>
      <c r="G104" s="2657"/>
      <c r="H104" s="2005">
        <v>5</v>
      </c>
      <c r="I104" s="434">
        <f>IF(H104-2&lt;0,"",H104-2)</f>
        <v>3</v>
      </c>
      <c r="J104" s="439">
        <f>IF(I104="","",I104-D104)</f>
        <v>0</v>
      </c>
      <c r="K104" s="2011"/>
      <c r="L104" s="2012"/>
    </row>
    <row r="105" spans="1:20" s="300" customFormat="1" ht="22.5" x14ac:dyDescent="0.55000000000000004">
      <c r="A105" s="2634" t="s">
        <v>249</v>
      </c>
      <c r="B105" s="2635"/>
      <c r="C105" s="2636"/>
      <c r="D105" s="2654">
        <f>'แบบข้อตกลง TOR (ป.วช.-01)'!I113</f>
        <v>3</v>
      </c>
      <c r="E105" s="2655"/>
      <c r="F105" s="2656">
        <v>5</v>
      </c>
      <c r="G105" s="2657"/>
      <c r="H105" s="2005">
        <v>5</v>
      </c>
      <c r="I105" s="434">
        <f>IF(H105-2&lt;0,"",H105-2)</f>
        <v>3</v>
      </c>
      <c r="J105" s="439">
        <f>IF(I105="","",I105-D105)</f>
        <v>0</v>
      </c>
      <c r="K105" s="2011"/>
      <c r="L105" s="2012"/>
    </row>
    <row r="106" spans="1:20" s="300" customFormat="1" ht="22.5" x14ac:dyDescent="0.55000000000000004">
      <c r="A106" s="2658" t="s">
        <v>253</v>
      </c>
      <c r="B106" s="2659"/>
      <c r="C106" s="2660"/>
      <c r="D106" s="2540">
        <f>'แบบข้อตกลง TOR (ป.วช.-01)'!I114</f>
        <v>4</v>
      </c>
      <c r="E106" s="2542"/>
      <c r="F106" s="2661">
        <v>6</v>
      </c>
      <c r="G106" s="2662"/>
      <c r="H106" s="2007">
        <v>6</v>
      </c>
      <c r="I106" s="440">
        <f>IF(H106-2&lt;0,"",H106-2)</f>
        <v>4</v>
      </c>
      <c r="J106" s="440">
        <f>IF(I106="","",I106-D106)</f>
        <v>0</v>
      </c>
      <c r="K106" s="2013"/>
      <c r="L106" s="2014"/>
    </row>
    <row r="107" spans="1:20" s="300" customFormat="1" ht="22.5" x14ac:dyDescent="0.55000000000000004">
      <c r="A107" s="441" t="s">
        <v>447</v>
      </c>
      <c r="B107" s="442"/>
      <c r="C107" s="443"/>
      <c r="D107" s="2666"/>
      <c r="E107" s="2667"/>
      <c r="F107" s="2668"/>
      <c r="G107" s="2669"/>
      <c r="H107" s="2008"/>
      <c r="I107" s="444"/>
      <c r="J107" s="371" t="str">
        <f t="shared" ref="J107" si="1">IF(OR(I107=0,I107=""),"",I107-D107)</f>
        <v/>
      </c>
      <c r="K107" s="2670"/>
      <c r="L107" s="2671"/>
    </row>
    <row r="108" spans="1:20" s="300" customFormat="1" x14ac:dyDescent="0.6">
      <c r="A108" s="2672" t="s">
        <v>240</v>
      </c>
      <c r="B108" s="2673"/>
      <c r="C108" s="2674"/>
      <c r="D108" s="2675" t="str">
        <f>'แบบข้อตกลง TOR (ป.วช.-01)'!N110</f>
        <v/>
      </c>
      <c r="E108" s="2676"/>
      <c r="F108" s="2637">
        <v>1</v>
      </c>
      <c r="G108" s="2638"/>
      <c r="H108" s="2009">
        <v>1</v>
      </c>
      <c r="I108" s="445" t="str">
        <f>IF(H108-2&lt;0,"",H108-2)</f>
        <v/>
      </c>
      <c r="J108" s="377" t="str">
        <f>IFERROR(IF(I108="","",I108-D108),"")</f>
        <v/>
      </c>
      <c r="K108" s="2677"/>
      <c r="L108" s="2678"/>
      <c r="N108" s="298"/>
      <c r="O108" s="298"/>
      <c r="P108" s="298"/>
      <c r="Q108" s="298"/>
      <c r="R108" s="298"/>
      <c r="S108" s="298"/>
      <c r="T108" s="298"/>
    </row>
    <row r="109" spans="1:20" s="300" customFormat="1" ht="22.5" x14ac:dyDescent="0.55000000000000004">
      <c r="A109" s="2672" t="s">
        <v>244</v>
      </c>
      <c r="B109" s="2673"/>
      <c r="C109" s="2674"/>
      <c r="D109" s="2689" t="str">
        <f>'แบบข้อตกลง TOR (ป.วช.-01)'!N111</f>
        <v/>
      </c>
      <c r="E109" s="2689"/>
      <c r="F109" s="2637">
        <v>1</v>
      </c>
      <c r="G109" s="2638"/>
      <c r="H109" s="2009">
        <v>1</v>
      </c>
      <c r="I109" s="445" t="str">
        <f>IF(H109-2&lt;0,"",H109-2)</f>
        <v/>
      </c>
      <c r="J109" s="1904" t="str">
        <f t="shared" ref="J109:J111" si="2">IFERROR(IF(I109="","",I109-D109),"")</f>
        <v/>
      </c>
      <c r="K109" s="2677"/>
      <c r="L109" s="2678"/>
    </row>
    <row r="110" spans="1:20" s="300" customFormat="1" ht="22.5" x14ac:dyDescent="0.55000000000000004">
      <c r="A110" s="2672" t="s">
        <v>247</v>
      </c>
      <c r="B110" s="2673"/>
      <c r="C110" s="2674"/>
      <c r="D110" s="2689" t="str">
        <f>'แบบข้อตกลง TOR (ป.วช.-01)'!N112</f>
        <v/>
      </c>
      <c r="E110" s="2689"/>
      <c r="F110" s="2637">
        <v>1</v>
      </c>
      <c r="G110" s="2638"/>
      <c r="H110" s="2009">
        <v>1</v>
      </c>
      <c r="I110" s="445" t="str">
        <f>IF(H110-2&lt;0,"",H110-2)</f>
        <v/>
      </c>
      <c r="J110" s="1904" t="str">
        <f t="shared" si="2"/>
        <v/>
      </c>
      <c r="K110" s="2677"/>
      <c r="L110" s="2678"/>
    </row>
    <row r="111" spans="1:20" s="300" customFormat="1" ht="22.5" x14ac:dyDescent="0.55000000000000004">
      <c r="A111" s="2679" t="s">
        <v>250</v>
      </c>
      <c r="B111" s="2680"/>
      <c r="C111" s="2681"/>
      <c r="D111" s="2682" t="str">
        <f>'แบบข้อตกลง TOR (ป.วช.-01)'!N113</f>
        <v/>
      </c>
      <c r="E111" s="2682"/>
      <c r="F111" s="2661">
        <v>1</v>
      </c>
      <c r="G111" s="2662"/>
      <c r="H111" s="2010">
        <v>1</v>
      </c>
      <c r="I111" s="440" t="str">
        <f>IF(H111-2&lt;0,"",H111-2)</f>
        <v/>
      </c>
      <c r="J111" s="1903" t="str">
        <f t="shared" si="2"/>
        <v/>
      </c>
      <c r="K111" s="2683"/>
      <c r="L111" s="2684"/>
    </row>
    <row r="112" spans="1:20" s="300" customFormat="1" ht="22.5" customHeight="1" x14ac:dyDescent="0.55000000000000004">
      <c r="A112" s="446"/>
      <c r="B112" s="326"/>
      <c r="C112" s="326"/>
      <c r="D112" s="422"/>
      <c r="E112" s="422"/>
      <c r="F112" s="422"/>
      <c r="G112" s="422"/>
      <c r="H112" s="422"/>
      <c r="I112" s="422"/>
      <c r="J112" s="422"/>
      <c r="K112" s="422"/>
      <c r="L112" s="422"/>
    </row>
    <row r="113" spans="1:20" s="300" customFormat="1" ht="22.5" customHeight="1" x14ac:dyDescent="0.55000000000000004">
      <c r="A113" s="2685" t="s">
        <v>448</v>
      </c>
      <c r="B113" s="2685"/>
      <c r="C113" s="2685"/>
      <c r="D113" s="2685"/>
      <c r="E113" s="2685"/>
      <c r="F113" s="2686" t="s">
        <v>449</v>
      </c>
      <c r="G113" s="2687"/>
      <c r="H113" s="2686" t="s">
        <v>450</v>
      </c>
      <c r="I113" s="2687"/>
      <c r="J113" s="2686" t="s">
        <v>451</v>
      </c>
      <c r="K113" s="2688"/>
      <c r="L113" s="2687"/>
    </row>
    <row r="114" spans="1:20" ht="24.75" customHeight="1" x14ac:dyDescent="0.6">
      <c r="A114" s="2707" t="s">
        <v>452</v>
      </c>
      <c r="B114" s="2708"/>
      <c r="C114" s="2708"/>
      <c r="D114" s="2708"/>
      <c r="E114" s="2709"/>
      <c r="F114" s="2710">
        <f>IF(COUNTIF($I$96:$I$100,"&gt;0")+COUNTIF($I$102:$I$106,"&gt;0")+COUNTIF($I$108:$I$111,"&gt;0") &gt;0,COUNTIF($J$96:$J$100,"&gt;=0")+COUNTIF($J$102:$J$106,"&gt;=0")+COUNTIF($J$108:$J$111,"&gt;=0"),0)</f>
        <v>10</v>
      </c>
      <c r="G114" s="2711"/>
      <c r="H114" s="2710">
        <v>3</v>
      </c>
      <c r="I114" s="2711"/>
      <c r="J114" s="2712">
        <f>F114*H114</f>
        <v>30</v>
      </c>
      <c r="K114" s="2713"/>
      <c r="L114" s="2714"/>
      <c r="N114" s="300"/>
      <c r="O114" s="300"/>
      <c r="P114" s="300"/>
      <c r="Q114" s="300"/>
      <c r="R114" s="300"/>
      <c r="S114" s="300"/>
      <c r="T114" s="300"/>
    </row>
    <row r="115" spans="1:20" s="300" customFormat="1" ht="22.5" customHeight="1" x14ac:dyDescent="0.55000000000000004">
      <c r="A115" s="2690" t="s">
        <v>453</v>
      </c>
      <c r="B115" s="2691"/>
      <c r="C115" s="2691"/>
      <c r="D115" s="2691"/>
      <c r="E115" s="2692"/>
      <c r="F115" s="2693">
        <f>IF(COUNTIF($I$96:$I$100,"&gt;0")+COUNTIF($I$102:$I$106,"&gt;0")+COUNTIF($I$108:$I$111,"&gt;0") &gt;0,COUNTIF($J$96:$J$100,"-1")+COUNTIF($J$102:$J$106,"-1")+COUNTIF($J$108:$J$111,"-1"),0)</f>
        <v>0</v>
      </c>
      <c r="G115" s="2694"/>
      <c r="H115" s="2693">
        <v>2</v>
      </c>
      <c r="I115" s="2694"/>
      <c r="J115" s="2695">
        <f>F115*H115</f>
        <v>0</v>
      </c>
      <c r="K115" s="2696"/>
      <c r="L115" s="2697"/>
      <c r="N115" s="447"/>
      <c r="O115" s="447"/>
      <c r="P115" s="447"/>
      <c r="Q115" s="447"/>
      <c r="R115" s="447"/>
      <c r="S115" s="447"/>
      <c r="T115" s="447"/>
    </row>
    <row r="116" spans="1:20" s="300" customFormat="1" ht="22.5" customHeight="1" x14ac:dyDescent="0.55000000000000004">
      <c r="A116" s="2690" t="s">
        <v>454</v>
      </c>
      <c r="B116" s="2691"/>
      <c r="C116" s="2691"/>
      <c r="D116" s="2691"/>
      <c r="E116" s="2692"/>
      <c r="F116" s="2693">
        <f>IF(COUNTIF($I$96:$I$100,"&gt;0")+COUNTIF($I$102:$I$106,"&gt;0")+COUNTIF($I$108:$I$111,"&gt;0") &gt;0,COUNTIF($J$96:$J$100,"-2")+COUNTIF($J$102:$J$106,"-2")+COUNTIF($J$108:$J$111,"-2"),0)</f>
        <v>0</v>
      </c>
      <c r="G116" s="2694"/>
      <c r="H116" s="2693">
        <v>1</v>
      </c>
      <c r="I116" s="2694"/>
      <c r="J116" s="2695">
        <f>F116*H116</f>
        <v>0</v>
      </c>
      <c r="K116" s="2696"/>
      <c r="L116" s="2697"/>
      <c r="N116" s="447"/>
      <c r="O116" s="447"/>
      <c r="P116" s="447"/>
      <c r="Q116" s="447"/>
      <c r="R116" s="447"/>
      <c r="S116" s="447"/>
      <c r="T116" s="447"/>
    </row>
    <row r="117" spans="1:20" s="300" customFormat="1" ht="22.5" x14ac:dyDescent="0.55000000000000004">
      <c r="A117" s="2698" t="s">
        <v>455</v>
      </c>
      <c r="B117" s="2699"/>
      <c r="C117" s="2699"/>
      <c r="D117" s="2699"/>
      <c r="E117" s="2700"/>
      <c r="F117" s="2701">
        <f>IF(COUNTIF($I$96:$I$100,"&gt;0")+COUNTIF($I$102:$I$106,"&gt;0")+COUNTIF($I$108:$I$111,"&gt;0") &gt;0,COUNTIF($J$96:$J$100,"-3")+COUNTIF($J$102:$J$106,"-3")+COUNTIF($J$108:$J$111,"-3"),0)</f>
        <v>0</v>
      </c>
      <c r="G117" s="2702"/>
      <c r="H117" s="2546">
        <v>0</v>
      </c>
      <c r="I117" s="2703"/>
      <c r="J117" s="2704">
        <f>F117*H117</f>
        <v>0</v>
      </c>
      <c r="K117" s="2705"/>
      <c r="L117" s="2706"/>
      <c r="N117" s="447"/>
      <c r="O117" s="447"/>
      <c r="P117" s="447"/>
      <c r="Q117" s="447"/>
      <c r="R117" s="447"/>
      <c r="S117" s="447"/>
      <c r="T117" s="447"/>
    </row>
    <row r="118" spans="1:20" s="300" customFormat="1" ht="22.5" x14ac:dyDescent="0.55000000000000004">
      <c r="A118" s="2685" t="s">
        <v>456</v>
      </c>
      <c r="B118" s="2685"/>
      <c r="C118" s="2685"/>
      <c r="D118" s="2685"/>
      <c r="E118" s="2685"/>
      <c r="F118" s="2685"/>
      <c r="G118" s="2685"/>
      <c r="H118" s="2685"/>
      <c r="I118" s="2685"/>
      <c r="J118" s="2686">
        <f>SUM(J114:L117)</f>
        <v>30</v>
      </c>
      <c r="K118" s="2688"/>
      <c r="L118" s="2687"/>
      <c r="N118" s="447"/>
      <c r="O118" s="447"/>
      <c r="P118" s="447"/>
      <c r="Q118" s="447"/>
      <c r="R118" s="447"/>
      <c r="S118" s="447"/>
      <c r="T118" s="447"/>
    </row>
    <row r="119" spans="1:20" s="300" customFormat="1" ht="22.5" x14ac:dyDescent="0.55000000000000004">
      <c r="A119" s="2720" t="s">
        <v>457</v>
      </c>
      <c r="B119" s="2720"/>
      <c r="C119" s="2720"/>
      <c r="D119" s="2720"/>
      <c r="E119" s="2720"/>
      <c r="F119" s="2720"/>
      <c r="G119" s="2720"/>
      <c r="H119" s="2720"/>
      <c r="I119" s="2720"/>
      <c r="J119" s="2721">
        <f>IF(J118&gt;0,(J118/(SUM(F114:G117)*3)*20),0)</f>
        <v>20</v>
      </c>
      <c r="K119" s="2722"/>
      <c r="L119" s="2723"/>
      <c r="N119" s="447"/>
      <c r="O119" s="447"/>
      <c r="P119" s="447"/>
      <c r="Q119" s="447"/>
      <c r="R119" s="447"/>
      <c r="S119" s="447"/>
      <c r="T119" s="447"/>
    </row>
    <row r="120" spans="1:20" s="300" customFormat="1" ht="22.5" x14ac:dyDescent="0.55000000000000004">
      <c r="C120" s="448"/>
      <c r="D120" s="448"/>
      <c r="E120" s="448"/>
      <c r="F120" s="448"/>
      <c r="G120" s="448"/>
      <c r="H120" s="448"/>
      <c r="I120" s="448"/>
      <c r="J120" s="449"/>
      <c r="K120" s="449"/>
      <c r="N120" s="326"/>
      <c r="O120" s="326"/>
      <c r="P120" s="326"/>
      <c r="Q120" s="326"/>
      <c r="R120" s="326"/>
      <c r="S120" s="326"/>
      <c r="T120" s="326"/>
    </row>
    <row r="121" spans="1:20" s="300" customFormat="1" ht="22.5" x14ac:dyDescent="0.55000000000000004">
      <c r="A121" s="329" t="s">
        <v>458</v>
      </c>
      <c r="C121" s="448"/>
      <c r="D121" s="448"/>
      <c r="E121" s="448"/>
      <c r="F121" s="448"/>
      <c r="G121" s="448"/>
      <c r="H121" s="448"/>
      <c r="I121" s="448"/>
      <c r="J121" s="448"/>
      <c r="K121" s="448"/>
      <c r="N121" s="326"/>
      <c r="O121" s="326"/>
      <c r="P121" s="326"/>
      <c r="Q121" s="326"/>
      <c r="R121" s="326"/>
      <c r="S121" s="326"/>
      <c r="T121" s="326"/>
    </row>
    <row r="122" spans="1:20" s="300" customFormat="1" ht="42" customHeight="1" x14ac:dyDescent="0.55000000000000004">
      <c r="A122" s="2724" t="s">
        <v>459</v>
      </c>
      <c r="B122" s="2725"/>
      <c r="C122" s="2725"/>
      <c r="D122" s="2725"/>
      <c r="E122" s="2726"/>
      <c r="F122" s="2727" t="s">
        <v>460</v>
      </c>
      <c r="G122" s="2727"/>
      <c r="H122" s="450" t="s">
        <v>461</v>
      </c>
      <c r="I122" s="451"/>
      <c r="J122" s="448"/>
      <c r="K122" s="448"/>
      <c r="N122" s="326"/>
      <c r="O122" s="326"/>
      <c r="P122" s="326"/>
      <c r="Q122" s="326"/>
      <c r="R122" s="326"/>
      <c r="S122" s="326"/>
      <c r="T122" s="326"/>
    </row>
    <row r="123" spans="1:20" s="300" customFormat="1" ht="22.5" x14ac:dyDescent="0.55000000000000004">
      <c r="A123" s="2715" t="str">
        <f>สรุปภาระงาน!B39</f>
        <v/>
      </c>
      <c r="B123" s="2716"/>
      <c r="C123" s="2716"/>
      <c r="D123" s="2716"/>
      <c r="E123" s="2717"/>
      <c r="F123" s="2718" t="str">
        <f>สรุปภาระงาน!H39</f>
        <v/>
      </c>
      <c r="G123" s="2719"/>
      <c r="H123" s="452" t="str">
        <f>สรุปภาระงาน!I39</f>
        <v/>
      </c>
      <c r="I123" s="451"/>
      <c r="J123" s="448"/>
      <c r="K123" s="448"/>
      <c r="N123" s="326"/>
      <c r="O123" s="326"/>
      <c r="P123" s="326"/>
      <c r="Q123" s="326"/>
      <c r="R123" s="326"/>
      <c r="S123" s="326"/>
      <c r="T123" s="326"/>
    </row>
    <row r="124" spans="1:20" s="300" customFormat="1" ht="22.5" x14ac:dyDescent="0.55000000000000004">
      <c r="A124" s="2715" t="str">
        <f>สรุปภาระงาน!B40</f>
        <v/>
      </c>
      <c r="B124" s="2716"/>
      <c r="C124" s="2716"/>
      <c r="D124" s="2716"/>
      <c r="E124" s="2717"/>
      <c r="F124" s="2718" t="str">
        <f>สรุปภาระงาน!H40</f>
        <v/>
      </c>
      <c r="G124" s="2719"/>
      <c r="H124" s="452" t="str">
        <f>สรุปภาระงาน!I40</f>
        <v/>
      </c>
      <c r="I124" s="451"/>
      <c r="J124" s="448"/>
      <c r="K124" s="448"/>
      <c r="N124" s="326"/>
      <c r="O124" s="326"/>
      <c r="P124" s="326"/>
      <c r="Q124" s="326"/>
      <c r="R124" s="326"/>
      <c r="S124" s="326"/>
      <c r="T124" s="326"/>
    </row>
    <row r="125" spans="1:20" s="300" customFormat="1" ht="22.5" x14ac:dyDescent="0.55000000000000004">
      <c r="A125" s="2715" t="str">
        <f>สรุปภาระงาน!B41</f>
        <v/>
      </c>
      <c r="B125" s="2716"/>
      <c r="C125" s="2716"/>
      <c r="D125" s="2716"/>
      <c r="E125" s="2717"/>
      <c r="F125" s="2686" t="str">
        <f>สรุปภาระงาน!H41</f>
        <v/>
      </c>
      <c r="G125" s="2687"/>
      <c r="H125" s="450" t="str">
        <f>สรุปภาระงาน!I41</f>
        <v/>
      </c>
      <c r="I125" s="453"/>
      <c r="J125" s="448"/>
      <c r="K125" s="448"/>
      <c r="N125" s="326"/>
      <c r="O125" s="326"/>
      <c r="P125" s="326"/>
      <c r="Q125" s="326"/>
      <c r="R125" s="326"/>
      <c r="S125" s="326"/>
      <c r="T125" s="326"/>
    </row>
    <row r="126" spans="1:20" s="300" customFormat="1" ht="22.5" x14ac:dyDescent="0.55000000000000004">
      <c r="A126" s="2715" t="str">
        <f>สรุปภาระงาน!B42</f>
        <v/>
      </c>
      <c r="B126" s="2716"/>
      <c r="C126" s="2716"/>
      <c r="D126" s="2716"/>
      <c r="E126" s="2717"/>
      <c r="F126" s="2686" t="str">
        <f>สรุปภาระงาน!H42</f>
        <v/>
      </c>
      <c r="G126" s="2687"/>
      <c r="H126" s="450" t="str">
        <f>สรุปภาระงาน!I42</f>
        <v/>
      </c>
      <c r="I126" s="453"/>
      <c r="J126" s="448"/>
      <c r="K126" s="448"/>
      <c r="N126" s="326"/>
      <c r="O126" s="326"/>
      <c r="P126" s="326"/>
      <c r="Q126" s="326"/>
      <c r="R126" s="326"/>
      <c r="S126" s="326"/>
      <c r="T126" s="326"/>
    </row>
    <row r="127" spans="1:20" s="300" customFormat="1" ht="22.5" x14ac:dyDescent="0.55000000000000004">
      <c r="A127" s="2715" t="str">
        <f>สรุปภาระงาน!B43</f>
        <v/>
      </c>
      <c r="B127" s="2716"/>
      <c r="C127" s="2716"/>
      <c r="D127" s="2716"/>
      <c r="E127" s="2717"/>
      <c r="F127" s="2686" t="str">
        <f>สรุปภาระงาน!H43</f>
        <v/>
      </c>
      <c r="G127" s="2687"/>
      <c r="H127" s="450" t="str">
        <f>สรุปภาระงาน!I43</f>
        <v/>
      </c>
      <c r="I127" s="453"/>
      <c r="J127" s="448"/>
      <c r="K127" s="448"/>
      <c r="N127" s="326"/>
      <c r="O127" s="326"/>
      <c r="P127" s="326"/>
      <c r="Q127" s="326"/>
      <c r="R127" s="326"/>
      <c r="S127" s="326"/>
      <c r="T127" s="326"/>
    </row>
    <row r="128" spans="1:20" s="300" customFormat="1" ht="22.5" x14ac:dyDescent="0.55000000000000004">
      <c r="A128" s="2643" t="s">
        <v>462</v>
      </c>
      <c r="B128" s="2644"/>
      <c r="C128" s="2644"/>
      <c r="D128" s="2644"/>
      <c r="E128" s="2644"/>
      <c r="F128" s="2644"/>
      <c r="G128" s="2645"/>
      <c r="H128" s="358" t="str">
        <f>สรุปภาระงาน!I44</f>
        <v/>
      </c>
      <c r="I128" s="453"/>
      <c r="J128" s="448"/>
      <c r="K128" s="448"/>
      <c r="N128" s="326"/>
      <c r="O128" s="326"/>
      <c r="P128" s="326"/>
      <c r="Q128" s="326"/>
      <c r="R128" s="326"/>
      <c r="S128" s="326"/>
      <c r="T128" s="326"/>
    </row>
    <row r="129" spans="1:20" s="300" customFormat="1" ht="22.5" x14ac:dyDescent="0.55000000000000004">
      <c r="C129" s="448"/>
      <c r="D129" s="448"/>
      <c r="E129" s="448"/>
      <c r="F129" s="448"/>
      <c r="G129" s="448"/>
      <c r="H129" s="448"/>
      <c r="I129" s="448"/>
      <c r="J129" s="448"/>
      <c r="K129" s="448"/>
      <c r="N129" s="326"/>
      <c r="O129" s="326"/>
      <c r="P129" s="326"/>
      <c r="Q129" s="326"/>
      <c r="R129" s="326"/>
      <c r="S129" s="326"/>
      <c r="T129" s="326"/>
    </row>
    <row r="130" spans="1:20" s="447" customFormat="1" ht="22.5" x14ac:dyDescent="0.55000000000000004">
      <c r="A130" s="329" t="s">
        <v>463</v>
      </c>
      <c r="B130" s="300"/>
      <c r="C130" s="329"/>
      <c r="D130" s="329"/>
      <c r="E130" s="329"/>
      <c r="F130" s="329"/>
      <c r="G130" s="329"/>
      <c r="H130" s="329"/>
      <c r="I130" s="329"/>
      <c r="J130" s="329"/>
      <c r="K130" s="329"/>
      <c r="L130" s="300"/>
      <c r="N130" s="326"/>
      <c r="O130" s="326"/>
      <c r="P130" s="326"/>
      <c r="Q130" s="326"/>
      <c r="R130" s="326"/>
      <c r="S130" s="326"/>
      <c r="T130" s="326"/>
    </row>
    <row r="131" spans="1:20" s="447" customFormat="1" ht="22.5" x14ac:dyDescent="0.55000000000000004">
      <c r="A131" s="2642" t="s">
        <v>464</v>
      </c>
      <c r="B131" s="2642"/>
      <c r="C131" s="2642"/>
      <c r="D131" s="2642"/>
      <c r="E131" s="2686" t="s">
        <v>465</v>
      </c>
      <c r="F131" s="2688"/>
      <c r="G131" s="2688"/>
      <c r="H131" s="2687"/>
      <c r="I131" s="2728"/>
      <c r="J131" s="2728"/>
      <c r="K131" s="454"/>
      <c r="N131" s="326"/>
      <c r="O131" s="326"/>
      <c r="P131" s="326"/>
      <c r="Q131" s="326"/>
      <c r="R131" s="326"/>
      <c r="S131" s="326"/>
      <c r="T131" s="326"/>
    </row>
    <row r="132" spans="1:20" s="447" customFormat="1" ht="22.5" x14ac:dyDescent="0.55000000000000004">
      <c r="A132" s="455" t="s">
        <v>466</v>
      </c>
      <c r="B132" s="456"/>
      <c r="C132" s="457"/>
      <c r="D132" s="458"/>
      <c r="E132" s="2729">
        <f>L90</f>
        <v>72.465000000000003</v>
      </c>
      <c r="F132" s="2730"/>
      <c r="G132" s="2730"/>
      <c r="H132" s="2731"/>
      <c r="I132" s="2696"/>
      <c r="J132" s="2696"/>
      <c r="K132" s="454"/>
      <c r="N132" s="326"/>
      <c r="O132" s="326"/>
      <c r="P132" s="326"/>
      <c r="Q132" s="326"/>
      <c r="R132" s="326"/>
      <c r="S132" s="326"/>
      <c r="T132" s="326"/>
    </row>
    <row r="133" spans="1:20" s="447" customFormat="1" ht="22.5" x14ac:dyDescent="0.55000000000000004">
      <c r="A133" s="459" t="s">
        <v>467</v>
      </c>
      <c r="B133" s="460"/>
      <c r="C133" s="461"/>
      <c r="D133" s="462"/>
      <c r="E133" s="2732">
        <f>J119</f>
        <v>20</v>
      </c>
      <c r="F133" s="2733"/>
      <c r="G133" s="2733"/>
      <c r="H133" s="2734"/>
      <c r="I133" s="2696"/>
      <c r="J133" s="2696"/>
      <c r="K133" s="454"/>
      <c r="N133" s="326"/>
      <c r="O133" s="326"/>
      <c r="P133" s="326"/>
      <c r="Q133" s="326"/>
      <c r="R133" s="326"/>
      <c r="S133" s="326"/>
      <c r="T133" s="326"/>
    </row>
    <row r="134" spans="1:20" s="447" customFormat="1" ht="22.5" x14ac:dyDescent="0.55000000000000004">
      <c r="A134" s="463" t="s">
        <v>468</v>
      </c>
      <c r="B134" s="463"/>
      <c r="C134" s="464"/>
      <c r="D134" s="464"/>
      <c r="E134" s="2735">
        <f>SUM(E132:H133)</f>
        <v>92.465000000000003</v>
      </c>
      <c r="F134" s="2736"/>
      <c r="G134" s="2736"/>
      <c r="H134" s="2737"/>
      <c r="I134" s="2738"/>
      <c r="J134" s="2738"/>
      <c r="K134" s="454"/>
      <c r="N134" s="326"/>
      <c r="O134" s="326"/>
      <c r="P134" s="326"/>
      <c r="Q134" s="326"/>
      <c r="R134" s="326"/>
      <c r="S134" s="326"/>
      <c r="T134" s="326"/>
    </row>
    <row r="135" spans="1:20" s="326" customFormat="1" ht="22.5" x14ac:dyDescent="0.55000000000000004">
      <c r="A135" s="447"/>
      <c r="B135" s="447"/>
      <c r="C135" s="465"/>
      <c r="D135" s="465"/>
      <c r="E135" s="465"/>
      <c r="F135" s="465"/>
      <c r="G135" s="465"/>
      <c r="H135" s="465"/>
      <c r="I135" s="465"/>
      <c r="J135" s="465"/>
      <c r="K135" s="465"/>
      <c r="L135" s="447"/>
      <c r="N135" s="300"/>
      <c r="O135" s="300"/>
      <c r="P135" s="300"/>
      <c r="Q135" s="300"/>
      <c r="R135" s="300"/>
      <c r="S135" s="300"/>
      <c r="T135" s="300"/>
    </row>
    <row r="136" spans="1:20" s="447" customFormat="1" ht="22.5" x14ac:dyDescent="0.55000000000000004">
      <c r="A136" s="329" t="s">
        <v>469</v>
      </c>
      <c r="B136" s="300"/>
      <c r="C136" s="329"/>
      <c r="D136" s="329"/>
      <c r="E136" s="329"/>
      <c r="F136" s="329"/>
      <c r="G136" s="329"/>
      <c r="H136" s="329"/>
      <c r="I136" s="329"/>
      <c r="J136" s="329"/>
      <c r="K136" s="329"/>
      <c r="L136" s="300"/>
      <c r="N136" s="326"/>
      <c r="O136" s="326"/>
      <c r="P136" s="326"/>
      <c r="Q136" s="326"/>
      <c r="R136" s="326"/>
      <c r="S136" s="326"/>
      <c r="T136" s="326"/>
    </row>
    <row r="137" spans="1:20" s="447" customFormat="1" ht="22.5" x14ac:dyDescent="0.55000000000000004">
      <c r="A137" s="2642" t="s">
        <v>470</v>
      </c>
      <c r="B137" s="2642"/>
      <c r="C137" s="2642"/>
      <c r="D137" s="2642"/>
      <c r="E137" s="2686" t="s">
        <v>471</v>
      </c>
      <c r="F137" s="2688"/>
      <c r="G137" s="2688"/>
      <c r="H137" s="2687"/>
      <c r="I137" s="2728"/>
      <c r="J137" s="2728"/>
      <c r="K137" s="454"/>
      <c r="N137" s="326"/>
      <c r="O137" s="326"/>
      <c r="P137" s="326"/>
      <c r="Q137" s="326"/>
      <c r="R137" s="326"/>
      <c r="S137" s="326"/>
      <c r="T137" s="326"/>
    </row>
    <row r="138" spans="1:20" s="447" customFormat="1" ht="22.5" x14ac:dyDescent="0.55000000000000004">
      <c r="A138" s="455" t="s">
        <v>472</v>
      </c>
      <c r="B138" s="456"/>
      <c r="C138" s="457"/>
      <c r="D138" s="458"/>
      <c r="E138" s="2729"/>
      <c r="F138" s="2730"/>
      <c r="G138" s="2730"/>
      <c r="H138" s="2731"/>
      <c r="I138" s="2696"/>
      <c r="J138" s="2696"/>
      <c r="K138" s="454"/>
      <c r="N138" s="326"/>
      <c r="O138" s="326"/>
      <c r="P138" s="326"/>
      <c r="Q138" s="326"/>
      <c r="R138" s="326"/>
      <c r="S138" s="326"/>
      <c r="T138" s="326"/>
    </row>
    <row r="139" spans="1:20" s="447" customFormat="1" ht="22.5" x14ac:dyDescent="0.55000000000000004">
      <c r="A139" s="466" t="s">
        <v>473</v>
      </c>
      <c r="B139" s="467"/>
      <c r="C139" s="468"/>
      <c r="D139" s="469"/>
      <c r="E139" s="2746"/>
      <c r="F139" s="2747"/>
      <c r="G139" s="2747"/>
      <c r="H139" s="2748"/>
      <c r="I139" s="2696"/>
      <c r="J139" s="2696"/>
      <c r="K139" s="454"/>
      <c r="N139" s="326"/>
      <c r="O139" s="326"/>
      <c r="P139" s="326"/>
      <c r="Q139" s="326"/>
      <c r="R139" s="326"/>
      <c r="S139" s="326"/>
      <c r="T139" s="326"/>
    </row>
    <row r="140" spans="1:20" s="447" customFormat="1" ht="22.5" x14ac:dyDescent="0.55000000000000004">
      <c r="A140" s="470" t="s">
        <v>474</v>
      </c>
      <c r="B140" s="470"/>
      <c r="C140" s="471"/>
      <c r="D140" s="462"/>
      <c r="E140" s="2739"/>
      <c r="F140" s="2740"/>
      <c r="G140" s="2740"/>
      <c r="H140" s="2741"/>
      <c r="I140" s="2738"/>
      <c r="J140" s="2738"/>
      <c r="K140" s="454"/>
      <c r="N140" s="326"/>
      <c r="O140" s="326"/>
      <c r="P140" s="326"/>
      <c r="Q140" s="326"/>
      <c r="R140" s="326"/>
      <c r="S140" s="326"/>
      <c r="T140" s="326"/>
    </row>
    <row r="141" spans="1:20" s="447" customFormat="1" ht="22.5" x14ac:dyDescent="0.55000000000000004">
      <c r="A141" s="472"/>
      <c r="B141" s="472"/>
      <c r="C141" s="473"/>
      <c r="D141" s="473"/>
      <c r="E141" s="474"/>
      <c r="F141" s="474"/>
      <c r="G141" s="474"/>
      <c r="H141" s="474"/>
      <c r="I141" s="475"/>
      <c r="J141" s="475"/>
      <c r="K141" s="454"/>
      <c r="N141" s="326"/>
      <c r="O141" s="326"/>
      <c r="P141" s="326"/>
      <c r="Q141" s="326"/>
      <c r="R141" s="326"/>
      <c r="S141" s="326"/>
      <c r="T141" s="326"/>
    </row>
    <row r="142" spans="1:20" s="326" customFormat="1" x14ac:dyDescent="0.6">
      <c r="C142" s="476" t="s">
        <v>475</v>
      </c>
      <c r="D142" s="465"/>
      <c r="E142" s="465"/>
      <c r="F142" s="465"/>
      <c r="G142" s="465"/>
      <c r="H142" s="465"/>
      <c r="I142" s="465"/>
      <c r="J142" s="465"/>
      <c r="K142" s="465"/>
      <c r="N142" s="330"/>
      <c r="O142" s="330"/>
      <c r="P142" s="330"/>
      <c r="Q142" s="330"/>
      <c r="R142" s="330"/>
      <c r="S142" s="330"/>
      <c r="T142" s="330"/>
    </row>
    <row r="143" spans="1:20" s="326" customFormat="1" x14ac:dyDescent="0.6">
      <c r="C143" s="477"/>
      <c r="D143" s="478" t="s">
        <v>476</v>
      </c>
      <c r="E143" s="478"/>
      <c r="F143" s="478"/>
      <c r="G143" s="479"/>
      <c r="H143" s="479"/>
      <c r="I143" s="479"/>
      <c r="J143" s="480"/>
      <c r="K143" s="480"/>
      <c r="N143" s="298"/>
      <c r="O143" s="298"/>
      <c r="P143" s="298"/>
      <c r="Q143" s="298"/>
      <c r="R143" s="298"/>
      <c r="S143" s="298"/>
      <c r="T143" s="298"/>
    </row>
    <row r="144" spans="1:20" s="326" customFormat="1" ht="23.25" x14ac:dyDescent="0.55000000000000004">
      <c r="C144" s="477"/>
      <c r="D144" s="478" t="s">
        <v>477</v>
      </c>
      <c r="E144" s="478"/>
      <c r="F144" s="478"/>
      <c r="G144" s="479"/>
      <c r="H144" s="479"/>
      <c r="I144" s="479"/>
      <c r="J144" s="480"/>
      <c r="K144" s="480"/>
      <c r="N144" s="300"/>
      <c r="O144" s="300"/>
      <c r="P144" s="300"/>
      <c r="Q144" s="300"/>
      <c r="R144" s="300"/>
      <c r="S144" s="300"/>
      <c r="T144" s="300"/>
    </row>
    <row r="145" spans="1:20" s="326" customFormat="1" ht="23.25" x14ac:dyDescent="0.55000000000000004">
      <c r="C145" s="477"/>
      <c r="D145" s="478" t="s">
        <v>478</v>
      </c>
      <c r="E145" s="478"/>
      <c r="F145" s="478"/>
      <c r="G145" s="479"/>
      <c r="H145" s="479"/>
      <c r="I145" s="479"/>
      <c r="J145" s="480"/>
      <c r="K145" s="480"/>
      <c r="N145" s="300"/>
      <c r="O145" s="300"/>
      <c r="P145" s="300"/>
      <c r="Q145" s="300"/>
      <c r="R145" s="300"/>
      <c r="S145" s="300"/>
      <c r="T145" s="300"/>
    </row>
    <row r="146" spans="1:20" s="326" customFormat="1" ht="23.25" x14ac:dyDescent="0.55000000000000004">
      <c r="C146" s="477"/>
      <c r="D146" s="478" t="s">
        <v>479</v>
      </c>
      <c r="E146" s="478"/>
      <c r="F146" s="478"/>
      <c r="G146" s="479"/>
      <c r="H146" s="479"/>
      <c r="I146" s="479"/>
      <c r="J146" s="480"/>
      <c r="K146" s="480"/>
      <c r="N146" s="300"/>
      <c r="O146" s="300"/>
      <c r="P146" s="300"/>
      <c r="Q146" s="300"/>
      <c r="R146" s="300"/>
      <c r="S146" s="300"/>
      <c r="T146" s="300"/>
    </row>
    <row r="147" spans="1:20" s="300" customFormat="1" ht="23.25" x14ac:dyDescent="0.55000000000000004">
      <c r="A147" s="326"/>
      <c r="B147" s="326"/>
      <c r="C147" s="477"/>
      <c r="D147" s="478" t="s">
        <v>480</v>
      </c>
      <c r="E147" s="478"/>
      <c r="F147" s="478"/>
      <c r="G147" s="479"/>
      <c r="H147" s="479"/>
      <c r="I147" s="479"/>
      <c r="J147" s="480"/>
      <c r="K147" s="480"/>
      <c r="L147" s="326"/>
    </row>
    <row r="148" spans="1:20" s="330" customFormat="1" ht="14.25" customHeight="1" x14ac:dyDescent="0.6">
      <c r="A148" s="300"/>
      <c r="B148" s="300"/>
      <c r="C148" s="465"/>
      <c r="D148" s="465"/>
      <c r="E148" s="465"/>
      <c r="F148" s="465"/>
      <c r="G148" s="465"/>
      <c r="H148" s="465"/>
      <c r="I148" s="465"/>
      <c r="J148" s="465"/>
      <c r="K148" s="465"/>
      <c r="L148" s="300"/>
      <c r="N148" s="300"/>
      <c r="O148" s="300"/>
      <c r="P148" s="300"/>
      <c r="Q148" s="300"/>
      <c r="R148" s="300"/>
      <c r="S148" s="300"/>
      <c r="T148" s="300"/>
    </row>
    <row r="149" spans="1:20" x14ac:dyDescent="0.6">
      <c r="A149" s="481" t="s">
        <v>481</v>
      </c>
      <c r="B149" s="482"/>
      <c r="C149" s="483"/>
      <c r="D149" s="483"/>
      <c r="E149" s="411"/>
      <c r="F149" s="411"/>
      <c r="G149" s="411"/>
      <c r="H149" s="411"/>
      <c r="I149" s="411"/>
      <c r="J149" s="411"/>
      <c r="K149" s="411"/>
      <c r="L149" s="412"/>
      <c r="M149" s="484"/>
      <c r="N149" s="300"/>
      <c r="O149" s="300"/>
      <c r="P149" s="300"/>
      <c r="Q149" s="300"/>
      <c r="R149" s="300"/>
      <c r="S149" s="300"/>
      <c r="T149" s="300"/>
    </row>
    <row r="150" spans="1:20" s="300" customFormat="1" x14ac:dyDescent="0.6">
      <c r="A150" s="485" t="s">
        <v>482</v>
      </c>
      <c r="B150" s="486"/>
      <c r="C150" s="487"/>
      <c r="D150" s="488"/>
      <c r="E150" s="488"/>
      <c r="F150" s="488"/>
      <c r="G150" s="488"/>
      <c r="H150" s="488"/>
      <c r="I150" s="489"/>
      <c r="J150" s="488"/>
      <c r="K150" s="488"/>
      <c r="L150" s="490"/>
      <c r="M150" s="491"/>
    </row>
    <row r="151" spans="1:20" s="300" customFormat="1" ht="22.5" x14ac:dyDescent="0.55000000000000004">
      <c r="A151" s="492"/>
      <c r="B151" s="488"/>
      <c r="C151" s="488"/>
      <c r="D151" s="488"/>
      <c r="E151" s="488"/>
      <c r="F151" s="488"/>
      <c r="G151" s="488"/>
      <c r="H151" s="488"/>
      <c r="I151" s="488"/>
      <c r="J151" s="488"/>
      <c r="K151" s="488"/>
      <c r="L151" s="490"/>
      <c r="M151" s="491"/>
    </row>
    <row r="152" spans="1:20" s="300" customFormat="1" ht="22.5" x14ac:dyDescent="0.55000000000000004">
      <c r="A152" s="492"/>
      <c r="B152" s="488"/>
      <c r="C152" s="488"/>
      <c r="D152" s="488"/>
      <c r="E152" s="488"/>
      <c r="F152" s="488"/>
      <c r="G152" s="488"/>
      <c r="H152" s="488"/>
      <c r="I152" s="488"/>
      <c r="J152" s="488"/>
      <c r="K152" s="488"/>
      <c r="L152" s="490"/>
      <c r="M152" s="491"/>
    </row>
    <row r="153" spans="1:20" s="300" customFormat="1" ht="22.5" x14ac:dyDescent="0.55000000000000004">
      <c r="A153" s="485"/>
      <c r="B153" s="487"/>
      <c r="C153" s="487"/>
      <c r="D153" s="487"/>
      <c r="E153" s="487"/>
      <c r="F153" s="487"/>
      <c r="G153" s="487"/>
      <c r="H153" s="487"/>
      <c r="I153" s="487"/>
      <c r="J153" s="487"/>
      <c r="K153" s="487"/>
      <c r="L153" s="493"/>
      <c r="M153" s="491"/>
    </row>
    <row r="154" spans="1:20" s="300" customFormat="1" ht="22.5" x14ac:dyDescent="0.55000000000000004">
      <c r="A154" s="410" t="s">
        <v>483</v>
      </c>
      <c r="B154" s="411"/>
      <c r="C154" s="411"/>
      <c r="D154" s="411"/>
      <c r="E154" s="494"/>
      <c r="F154" s="494"/>
      <c r="G154" s="494"/>
      <c r="H154" s="494"/>
      <c r="I154" s="494"/>
      <c r="J154" s="494"/>
      <c r="K154" s="494"/>
      <c r="L154" s="495"/>
      <c r="M154" s="491"/>
    </row>
    <row r="155" spans="1:20" s="300" customFormat="1" ht="22.5" x14ac:dyDescent="0.55000000000000004">
      <c r="A155" s="492"/>
      <c r="B155" s="488"/>
      <c r="C155" s="488"/>
      <c r="D155" s="488"/>
      <c r="E155" s="488"/>
      <c r="F155" s="488"/>
      <c r="G155" s="488"/>
      <c r="H155" s="488"/>
      <c r="I155" s="488"/>
      <c r="J155" s="488"/>
      <c r="K155" s="488"/>
      <c r="L155" s="490"/>
      <c r="M155" s="491"/>
    </row>
    <row r="156" spans="1:20" s="300" customFormat="1" ht="22.5" x14ac:dyDescent="0.55000000000000004">
      <c r="A156" s="492"/>
      <c r="B156" s="488"/>
      <c r="C156" s="488"/>
      <c r="D156" s="488"/>
      <c r="E156" s="488"/>
      <c r="F156" s="488"/>
      <c r="G156" s="488"/>
      <c r="H156" s="488"/>
      <c r="I156" s="488"/>
      <c r="J156" s="488"/>
      <c r="K156" s="488"/>
      <c r="L156" s="490"/>
      <c r="M156" s="491"/>
    </row>
    <row r="157" spans="1:20" s="300" customFormat="1" ht="22.5" x14ac:dyDescent="0.55000000000000004">
      <c r="A157" s="485"/>
      <c r="B157" s="487"/>
      <c r="C157" s="487"/>
      <c r="D157" s="487"/>
      <c r="E157" s="487"/>
      <c r="F157" s="487"/>
      <c r="G157" s="487"/>
      <c r="H157" s="487"/>
      <c r="I157" s="487"/>
      <c r="J157" s="487"/>
      <c r="K157" s="487"/>
      <c r="L157" s="493"/>
      <c r="M157" s="491"/>
    </row>
    <row r="158" spans="1:20" s="300" customFormat="1" ht="22.5" x14ac:dyDescent="0.55000000000000004">
      <c r="A158" s="496"/>
      <c r="B158" s="497"/>
      <c r="C158" s="497"/>
      <c r="D158" s="497"/>
      <c r="E158" s="497"/>
      <c r="F158" s="497"/>
      <c r="G158" s="497"/>
      <c r="H158" s="497"/>
      <c r="I158" s="497"/>
      <c r="J158" s="497"/>
      <c r="K158" s="497"/>
      <c r="L158" s="498"/>
      <c r="M158" s="491"/>
    </row>
    <row r="159" spans="1:20" s="300" customFormat="1" ht="22.5" x14ac:dyDescent="0.55000000000000004">
      <c r="A159" s="491"/>
      <c r="B159" s="491"/>
      <c r="C159" s="499"/>
      <c r="D159" s="499"/>
      <c r="E159" s="500"/>
      <c r="F159" s="500"/>
      <c r="G159" s="500"/>
      <c r="H159" s="500"/>
      <c r="I159" s="500"/>
      <c r="J159" s="500"/>
      <c r="K159" s="500"/>
      <c r="L159" s="500"/>
      <c r="M159" s="491"/>
    </row>
    <row r="160" spans="1:20" s="300" customFormat="1" ht="21" customHeight="1" x14ac:dyDescent="0.6">
      <c r="A160" s="501" t="s">
        <v>484</v>
      </c>
      <c r="B160" s="491"/>
      <c r="C160" s="501"/>
      <c r="D160" s="501"/>
      <c r="E160" s="501"/>
      <c r="F160" s="501"/>
      <c r="G160" s="502"/>
      <c r="H160" s="502"/>
      <c r="I160" s="502"/>
      <c r="J160" s="502"/>
      <c r="K160" s="502"/>
      <c r="L160" s="502"/>
      <c r="M160" s="491"/>
      <c r="N160" s="298"/>
      <c r="O160" s="503"/>
      <c r="P160" s="298"/>
      <c r="Q160" s="298"/>
      <c r="R160" s="298"/>
      <c r="S160" s="298"/>
      <c r="T160" s="298"/>
    </row>
    <row r="161" spans="1:20" s="300" customFormat="1" ht="21" customHeight="1" x14ac:dyDescent="0.6">
      <c r="A161" s="2742" t="s">
        <v>485</v>
      </c>
      <c r="B161" s="2743"/>
      <c r="C161" s="2743"/>
      <c r="D161" s="504"/>
      <c r="E161" s="504"/>
      <c r="F161" s="505"/>
      <c r="G161" s="506" t="s">
        <v>486</v>
      </c>
      <c r="H161" s="504"/>
      <c r="I161" s="504"/>
      <c r="J161" s="504"/>
      <c r="K161" s="504"/>
      <c r="L161" s="505"/>
      <c r="M161" s="491"/>
      <c r="N161" s="298"/>
      <c r="O161" s="298"/>
      <c r="P161" s="298"/>
      <c r="Q161" s="298"/>
      <c r="R161" s="298"/>
      <c r="S161" s="298"/>
      <c r="T161" s="298"/>
    </row>
    <row r="162" spans="1:20" s="300" customFormat="1" ht="20.25" customHeight="1" x14ac:dyDescent="0.6">
      <c r="A162" s="507" t="s">
        <v>487</v>
      </c>
      <c r="B162" s="308"/>
      <c r="C162" s="308"/>
      <c r="D162" s="308"/>
      <c r="E162" s="508"/>
      <c r="F162" s="509"/>
      <c r="G162" s="507" t="s">
        <v>488</v>
      </c>
      <c r="H162" s="510"/>
      <c r="I162" s="510"/>
      <c r="J162" s="487"/>
      <c r="K162" s="487"/>
      <c r="L162" s="493"/>
      <c r="M162" s="491"/>
      <c r="N162" s="298"/>
      <c r="O162" s="298"/>
      <c r="P162" s="298"/>
      <c r="Q162" s="298"/>
      <c r="R162" s="298"/>
      <c r="S162" s="298"/>
      <c r="T162" s="298"/>
    </row>
    <row r="163" spans="1:20" s="300" customFormat="1" ht="19.5" customHeight="1" x14ac:dyDescent="0.6">
      <c r="A163" s="507" t="s">
        <v>489</v>
      </c>
      <c r="B163" s="308"/>
      <c r="C163" s="308"/>
      <c r="D163" s="308"/>
      <c r="E163" s="508"/>
      <c r="F163" s="509"/>
      <c r="G163" s="507" t="s">
        <v>490</v>
      </c>
      <c r="H163" s="510"/>
      <c r="I163" s="510"/>
      <c r="J163" s="487"/>
      <c r="K163" s="487"/>
      <c r="L163" s="493"/>
      <c r="M163" s="491"/>
      <c r="N163" s="298"/>
      <c r="O163" s="298"/>
      <c r="P163" s="298"/>
      <c r="Q163" s="298"/>
      <c r="R163" s="298"/>
      <c r="S163" s="298"/>
      <c r="T163" s="298"/>
    </row>
    <row r="164" spans="1:20" s="300" customFormat="1" x14ac:dyDescent="0.6">
      <c r="A164" s="485"/>
      <c r="B164" s="487"/>
      <c r="C164" s="308"/>
      <c r="D164" s="308"/>
      <c r="E164" s="308"/>
      <c r="F164" s="409"/>
      <c r="G164" s="507"/>
      <c r="H164" s="308"/>
      <c r="I164" s="508"/>
      <c r="J164" s="508"/>
      <c r="K164" s="487"/>
      <c r="L164" s="493"/>
      <c r="M164" s="491"/>
      <c r="N164" s="298"/>
      <c r="O164" s="298"/>
      <c r="P164" s="298"/>
      <c r="Q164" s="298"/>
      <c r="R164" s="298"/>
      <c r="S164" s="298"/>
      <c r="T164" s="298"/>
    </row>
    <row r="165" spans="1:20" s="300" customFormat="1" x14ac:dyDescent="0.6">
      <c r="A165" s="485"/>
      <c r="B165" s="487"/>
      <c r="C165" s="511" t="s">
        <v>491</v>
      </c>
      <c r="D165" s="487" t="s">
        <v>270</v>
      </c>
      <c r="E165" s="487"/>
      <c r="F165" s="509"/>
      <c r="G165" s="512"/>
      <c r="H165" s="508"/>
      <c r="I165" s="487"/>
      <c r="J165" s="513" t="s">
        <v>492</v>
      </c>
      <c r="K165" s="508" t="s">
        <v>270</v>
      </c>
      <c r="L165" s="493"/>
      <c r="M165" s="491"/>
      <c r="N165" s="298"/>
      <c r="O165" s="298"/>
      <c r="P165" s="298"/>
      <c r="Q165" s="298"/>
      <c r="R165" s="298"/>
      <c r="S165" s="298"/>
      <c r="T165" s="298"/>
    </row>
    <row r="166" spans="1:20" ht="22.5" customHeight="1" x14ac:dyDescent="0.6">
      <c r="A166" s="485"/>
      <c r="B166" s="487"/>
      <c r="C166" s="511" t="str">
        <f>"( "&amp;C9&amp;" )"</f>
        <v>( อ.ดร. จุฑามาศ อาจนาเสียว )</v>
      </c>
      <c r="D166" s="513"/>
      <c r="E166" s="487"/>
      <c r="F166" s="514"/>
      <c r="G166" s="512"/>
      <c r="H166" s="508"/>
      <c r="I166" s="2744" t="str">
        <f>"( "&amp;C9&amp;" )"</f>
        <v>( อ.ดร. จุฑามาศ อาจนาเสียว )</v>
      </c>
      <c r="J166" s="2744"/>
      <c r="K166" s="508"/>
      <c r="L166" s="493"/>
      <c r="M166" s="484"/>
    </row>
    <row r="167" spans="1:20" x14ac:dyDescent="0.6">
      <c r="A167" s="515"/>
      <c r="B167" s="486"/>
      <c r="C167" s="508"/>
      <c r="D167" s="508"/>
      <c r="E167" s="486"/>
      <c r="F167" s="509"/>
      <c r="G167" s="512"/>
      <c r="H167" s="508"/>
      <c r="I167" s="508"/>
      <c r="J167" s="486"/>
      <c r="K167" s="486"/>
      <c r="L167" s="493"/>
      <c r="M167" s="484"/>
    </row>
    <row r="168" spans="1:20" x14ac:dyDescent="0.6">
      <c r="A168" s="515"/>
      <c r="B168" s="486"/>
      <c r="C168" s="516"/>
      <c r="D168" s="516"/>
      <c r="E168" s="499"/>
      <c r="F168" s="517"/>
      <c r="G168" s="518"/>
      <c r="H168" s="508"/>
      <c r="I168" s="486"/>
      <c r="J168" s="513" t="s">
        <v>492</v>
      </c>
      <c r="K168" s="508" t="s">
        <v>493</v>
      </c>
      <c r="L168" s="493"/>
      <c r="M168" s="484"/>
    </row>
    <row r="169" spans="1:20" x14ac:dyDescent="0.6">
      <c r="A169" s="515"/>
      <c r="B169" s="486"/>
      <c r="C169" s="516"/>
      <c r="D169" s="516"/>
      <c r="E169" s="499"/>
      <c r="F169" s="519"/>
      <c r="G169" s="518"/>
      <c r="H169" s="508"/>
      <c r="I169" s="2603" t="s">
        <v>1300</v>
      </c>
      <c r="J169" s="2745"/>
      <c r="K169" s="2745"/>
      <c r="L169" s="520"/>
      <c r="M169" s="484"/>
    </row>
    <row r="170" spans="1:20" x14ac:dyDescent="0.6">
      <c r="A170" s="515"/>
      <c r="B170" s="486"/>
      <c r="C170" s="521"/>
      <c r="D170" s="521"/>
      <c r="E170" s="522"/>
      <c r="F170" s="523"/>
      <c r="G170" s="518"/>
      <c r="H170" s="508"/>
      <c r="I170" s="508"/>
      <c r="J170" s="486"/>
      <c r="K170" s="486"/>
      <c r="L170" s="493"/>
      <c r="M170" s="484"/>
    </row>
    <row r="171" spans="1:20" x14ac:dyDescent="0.6">
      <c r="A171" s="515"/>
      <c r="B171" s="486"/>
      <c r="C171" s="516"/>
      <c r="D171" s="516"/>
      <c r="E171" s="499"/>
      <c r="F171" s="517"/>
      <c r="G171" s="518"/>
      <c r="H171" s="508"/>
      <c r="I171" s="486"/>
      <c r="J171" s="513" t="s">
        <v>494</v>
      </c>
      <c r="K171" s="508" t="s">
        <v>495</v>
      </c>
      <c r="L171" s="493"/>
      <c r="M171" s="484"/>
    </row>
    <row r="172" spans="1:20" ht="22.5" customHeight="1" x14ac:dyDescent="0.6">
      <c r="A172" s="515"/>
      <c r="B172" s="486"/>
      <c r="C172" s="516"/>
      <c r="D172" s="516"/>
      <c r="E172" s="499"/>
      <c r="F172" s="517"/>
      <c r="G172" s="518"/>
      <c r="H172" s="508"/>
      <c r="I172" s="2603" t="s">
        <v>1301</v>
      </c>
      <c r="J172" s="2745"/>
      <c r="K172" s="2745"/>
      <c r="L172" s="493"/>
      <c r="M172" s="484"/>
    </row>
    <row r="173" spans="1:20" ht="17.25" customHeight="1" x14ac:dyDescent="0.6">
      <c r="A173" s="515"/>
      <c r="B173" s="486"/>
      <c r="C173" s="516"/>
      <c r="D173" s="516"/>
      <c r="E173" s="499"/>
      <c r="F173" s="517"/>
      <c r="G173" s="524" t="s">
        <v>496</v>
      </c>
      <c r="H173" s="525" t="s">
        <v>497</v>
      </c>
      <c r="I173" s="526"/>
      <c r="J173" s="513"/>
      <c r="K173" s="508"/>
      <c r="L173" s="493"/>
      <c r="M173" s="484"/>
    </row>
    <row r="174" spans="1:20" x14ac:dyDescent="0.6">
      <c r="A174" s="527"/>
      <c r="B174" s="528"/>
      <c r="C174" s="529"/>
      <c r="D174" s="529"/>
      <c r="E174" s="530"/>
      <c r="F174" s="531"/>
      <c r="G174" s="532"/>
      <c r="H174" s="533" t="s">
        <v>498</v>
      </c>
      <c r="I174" s="534"/>
      <c r="J174" s="528"/>
      <c r="K174" s="528"/>
      <c r="L174" s="535"/>
      <c r="M174" s="484"/>
    </row>
    <row r="175" spans="1:20" x14ac:dyDescent="0.6">
      <c r="A175" s="484"/>
      <c r="B175" s="484"/>
      <c r="C175" s="484"/>
      <c r="D175" s="484"/>
      <c r="E175" s="484"/>
      <c r="F175" s="484"/>
      <c r="G175" s="484"/>
      <c r="H175" s="484"/>
      <c r="I175" s="484"/>
      <c r="J175" s="484"/>
      <c r="K175" s="484"/>
      <c r="L175" s="484"/>
      <c r="M175" s="484"/>
    </row>
    <row r="176" spans="1:20" x14ac:dyDescent="0.6">
      <c r="A176" s="484"/>
      <c r="B176" s="484"/>
      <c r="C176" s="484"/>
      <c r="D176" s="484"/>
      <c r="E176" s="484"/>
      <c r="F176" s="484"/>
      <c r="G176" s="484"/>
      <c r="H176" s="484"/>
      <c r="I176" s="484"/>
      <c r="J176" s="484"/>
      <c r="K176" s="484"/>
      <c r="L176" s="484"/>
      <c r="M176" s="484"/>
    </row>
    <row r="177" spans="1:13" x14ac:dyDescent="0.6">
      <c r="A177" s="484"/>
      <c r="B177" s="484"/>
      <c r="C177" s="484"/>
      <c r="D177" s="484"/>
      <c r="E177" s="484"/>
      <c r="F177" s="484"/>
      <c r="G177" s="484"/>
      <c r="H177" s="484"/>
      <c r="I177" s="484"/>
      <c r="J177" s="484"/>
      <c r="K177" s="484"/>
      <c r="L177" s="484"/>
      <c r="M177" s="484"/>
    </row>
    <row r="178" spans="1:13" x14ac:dyDescent="0.6">
      <c r="A178" s="484"/>
      <c r="B178" s="484"/>
      <c r="C178" s="484"/>
      <c r="D178" s="484"/>
      <c r="E178" s="484"/>
      <c r="F178" s="484"/>
      <c r="G178" s="484"/>
      <c r="H178" s="484"/>
      <c r="I178" s="484"/>
      <c r="J178" s="484"/>
      <c r="K178" s="484"/>
      <c r="L178" s="484"/>
      <c r="M178" s="484"/>
    </row>
    <row r="179" spans="1:13" x14ac:dyDescent="0.6">
      <c r="A179" s="484"/>
      <c r="B179" s="484"/>
      <c r="C179" s="484"/>
      <c r="D179" s="484"/>
      <c r="E179" s="484"/>
      <c r="F179" s="484"/>
      <c r="G179" s="484"/>
      <c r="H179" s="484"/>
      <c r="I179" s="484"/>
      <c r="J179" s="484"/>
      <c r="K179" s="484"/>
      <c r="L179" s="484"/>
      <c r="M179" s="484"/>
    </row>
    <row r="180" spans="1:13" x14ac:dyDescent="0.6">
      <c r="A180" s="484"/>
      <c r="B180" s="484"/>
      <c r="C180" s="484"/>
      <c r="D180" s="484"/>
      <c r="E180" s="484"/>
      <c r="F180" s="484"/>
      <c r="G180" s="484"/>
      <c r="H180" s="484"/>
      <c r="I180" s="484"/>
      <c r="J180" s="484"/>
      <c r="K180" s="484"/>
      <c r="L180" s="484"/>
      <c r="M180" s="484"/>
    </row>
    <row r="181" spans="1:13" x14ac:dyDescent="0.6">
      <c r="A181" s="484"/>
      <c r="B181" s="484"/>
      <c r="C181" s="484"/>
      <c r="D181" s="484"/>
      <c r="E181" s="484"/>
      <c r="F181" s="484"/>
      <c r="G181" s="484"/>
      <c r="H181" s="484"/>
      <c r="I181" s="484"/>
      <c r="J181" s="484"/>
      <c r="K181" s="484"/>
      <c r="L181" s="484"/>
      <c r="M181" s="484"/>
    </row>
    <row r="182" spans="1:13" x14ac:dyDescent="0.6">
      <c r="A182" s="484"/>
      <c r="B182" s="484"/>
      <c r="C182" s="484"/>
      <c r="D182" s="484"/>
      <c r="E182" s="484"/>
      <c r="F182" s="484"/>
      <c r="G182" s="484"/>
      <c r="H182" s="484"/>
      <c r="I182" s="484"/>
      <c r="J182" s="484"/>
      <c r="K182" s="484"/>
      <c r="L182" s="484"/>
      <c r="M182" s="484"/>
    </row>
    <row r="183" spans="1:13" x14ac:dyDescent="0.6">
      <c r="A183" s="484"/>
      <c r="B183" s="484"/>
      <c r="C183" s="484"/>
      <c r="D183" s="484"/>
      <c r="E183" s="484"/>
      <c r="F183" s="484"/>
      <c r="G183" s="484"/>
      <c r="H183" s="484"/>
      <c r="I183" s="484"/>
      <c r="J183" s="484"/>
      <c r="K183" s="484"/>
      <c r="L183" s="484"/>
      <c r="M183" s="484"/>
    </row>
    <row r="184" spans="1:13" x14ac:dyDescent="0.6">
      <c r="A184" s="484"/>
      <c r="B184" s="484"/>
      <c r="C184" s="484"/>
      <c r="D184" s="484"/>
      <c r="E184" s="484"/>
      <c r="F184" s="484"/>
      <c r="G184" s="484"/>
      <c r="H184" s="484"/>
      <c r="I184" s="484"/>
      <c r="J184" s="484"/>
      <c r="K184" s="484"/>
      <c r="L184" s="484"/>
      <c r="M184" s="484"/>
    </row>
    <row r="185" spans="1:13" x14ac:dyDescent="0.6">
      <c r="A185" s="484"/>
      <c r="B185" s="484"/>
      <c r="C185" s="484"/>
      <c r="D185" s="484"/>
      <c r="E185" s="484"/>
      <c r="F185" s="484"/>
      <c r="G185" s="484"/>
      <c r="H185" s="484"/>
      <c r="I185" s="484"/>
      <c r="J185" s="484"/>
      <c r="K185" s="484"/>
      <c r="L185" s="484"/>
      <c r="M185" s="484"/>
    </row>
    <row r="186" spans="1:13" x14ac:dyDescent="0.6">
      <c r="A186" s="484"/>
      <c r="B186" s="484"/>
      <c r="C186" s="484"/>
      <c r="D186" s="484"/>
      <c r="E186" s="484"/>
      <c r="F186" s="484"/>
      <c r="G186" s="484"/>
      <c r="H186" s="484"/>
      <c r="I186" s="484"/>
      <c r="J186" s="484"/>
      <c r="K186" s="484"/>
      <c r="L186" s="484"/>
      <c r="M186" s="484"/>
    </row>
    <row r="187" spans="1:13" x14ac:dyDescent="0.6">
      <c r="A187" s="484"/>
      <c r="B187" s="484"/>
      <c r="C187" s="484"/>
      <c r="D187" s="484"/>
      <c r="E187" s="484"/>
      <c r="F187" s="484"/>
      <c r="G187" s="484"/>
      <c r="H187" s="484"/>
      <c r="I187" s="484"/>
      <c r="J187" s="484"/>
      <c r="K187" s="484"/>
      <c r="L187" s="484"/>
      <c r="M187" s="484"/>
    </row>
    <row r="188" spans="1:13" x14ac:dyDescent="0.6">
      <c r="A188" s="484"/>
      <c r="B188" s="484"/>
      <c r="C188" s="484"/>
      <c r="D188" s="484"/>
      <c r="E188" s="484"/>
      <c r="F188" s="484"/>
      <c r="G188" s="484"/>
      <c r="H188" s="484"/>
      <c r="I188" s="484"/>
      <c r="J188" s="484"/>
      <c r="K188" s="484"/>
      <c r="L188" s="484"/>
      <c r="M188" s="484"/>
    </row>
    <row r="189" spans="1:13" x14ac:dyDescent="0.6">
      <c r="A189" s="484"/>
      <c r="B189" s="484"/>
      <c r="C189" s="484"/>
      <c r="D189" s="484"/>
      <c r="E189" s="484"/>
      <c r="F189" s="484"/>
      <c r="G189" s="484"/>
      <c r="H189" s="484"/>
      <c r="I189" s="484"/>
      <c r="J189" s="484"/>
      <c r="K189" s="484"/>
      <c r="L189" s="484"/>
      <c r="M189" s="484"/>
    </row>
    <row r="190" spans="1:13" x14ac:dyDescent="0.6">
      <c r="A190" s="484"/>
      <c r="B190" s="484"/>
      <c r="C190" s="484"/>
      <c r="D190" s="484"/>
      <c r="E190" s="484"/>
      <c r="F190" s="484"/>
      <c r="G190" s="484"/>
      <c r="H190" s="484"/>
      <c r="I190" s="484"/>
      <c r="J190" s="484"/>
      <c r="K190" s="484"/>
      <c r="L190" s="484"/>
      <c r="M190" s="484"/>
    </row>
    <row r="191" spans="1:13" x14ac:dyDescent="0.6">
      <c r="A191" s="484"/>
      <c r="B191" s="484"/>
      <c r="C191" s="484"/>
      <c r="D191" s="484"/>
      <c r="E191" s="484"/>
      <c r="F191" s="484"/>
      <c r="G191" s="484"/>
      <c r="H191" s="484"/>
      <c r="I191" s="484"/>
      <c r="J191" s="484"/>
      <c r="K191" s="484"/>
      <c r="L191" s="484"/>
      <c r="M191" s="484"/>
    </row>
    <row r="192" spans="1:13" x14ac:dyDescent="0.6">
      <c r="A192" s="484"/>
      <c r="B192" s="484"/>
      <c r="C192" s="484"/>
      <c r="D192" s="484"/>
      <c r="E192" s="484"/>
      <c r="F192" s="484"/>
      <c r="G192" s="484"/>
      <c r="H192" s="484"/>
      <c r="I192" s="484"/>
      <c r="J192" s="484"/>
      <c r="K192" s="484"/>
      <c r="L192" s="484"/>
      <c r="M192" s="484"/>
    </row>
    <row r="193" spans="1:13" x14ac:dyDescent="0.6">
      <c r="A193" s="484"/>
      <c r="B193" s="484"/>
      <c r="C193" s="484"/>
      <c r="D193" s="484"/>
      <c r="E193" s="484"/>
      <c r="F193" s="484"/>
      <c r="G193" s="484"/>
      <c r="H193" s="484"/>
      <c r="I193" s="484"/>
      <c r="J193" s="484"/>
      <c r="K193" s="484"/>
      <c r="L193" s="484"/>
      <c r="M193" s="484"/>
    </row>
    <row r="194" spans="1:13" x14ac:dyDescent="0.6">
      <c r="A194" s="484"/>
      <c r="B194" s="484"/>
      <c r="C194" s="484"/>
      <c r="D194" s="484"/>
      <c r="E194" s="484"/>
      <c r="F194" s="484"/>
      <c r="G194" s="484"/>
      <c r="H194" s="484"/>
      <c r="I194" s="484"/>
      <c r="J194" s="484"/>
      <c r="K194" s="484"/>
      <c r="L194" s="484"/>
      <c r="M194" s="484"/>
    </row>
    <row r="195" spans="1:13" x14ac:dyDescent="0.6">
      <c r="A195" s="484"/>
      <c r="B195" s="484"/>
      <c r="C195" s="484"/>
      <c r="D195" s="484"/>
      <c r="E195" s="484"/>
      <c r="F195" s="484"/>
      <c r="G195" s="484"/>
      <c r="H195" s="484"/>
      <c r="I195" s="484"/>
      <c r="J195" s="484"/>
      <c r="K195" s="484"/>
      <c r="L195" s="484"/>
      <c r="M195" s="484"/>
    </row>
    <row r="196" spans="1:13" x14ac:dyDescent="0.6">
      <c r="A196" s="484"/>
      <c r="B196" s="484"/>
      <c r="C196" s="484"/>
      <c r="D196" s="484"/>
      <c r="E196" s="484"/>
      <c r="F196" s="484"/>
      <c r="G196" s="484"/>
      <c r="H196" s="484"/>
      <c r="I196" s="484"/>
      <c r="J196" s="484"/>
      <c r="K196" s="484"/>
      <c r="L196" s="484"/>
      <c r="M196" s="484"/>
    </row>
    <row r="197" spans="1:13" x14ac:dyDescent="0.6">
      <c r="A197" s="484"/>
      <c r="B197" s="484"/>
      <c r="C197" s="484"/>
      <c r="D197" s="484"/>
      <c r="E197" s="484"/>
      <c r="F197" s="484"/>
      <c r="G197" s="484"/>
      <c r="H197" s="484"/>
      <c r="I197" s="484"/>
      <c r="J197" s="484"/>
      <c r="K197" s="484"/>
      <c r="L197" s="484"/>
      <c r="M197" s="484"/>
    </row>
    <row r="198" spans="1:13" x14ac:dyDescent="0.6">
      <c r="A198" s="484"/>
      <c r="B198" s="484"/>
      <c r="C198" s="484"/>
      <c r="D198" s="484"/>
      <c r="E198" s="484"/>
      <c r="F198" s="484"/>
      <c r="G198" s="484"/>
      <c r="H198" s="484"/>
      <c r="I198" s="484"/>
      <c r="J198" s="484"/>
      <c r="K198" s="484"/>
      <c r="L198" s="484"/>
      <c r="M198" s="484"/>
    </row>
    <row r="199" spans="1:13" x14ac:dyDescent="0.6">
      <c r="A199" s="484"/>
      <c r="B199" s="484"/>
      <c r="C199" s="484"/>
      <c r="D199" s="484"/>
      <c r="E199" s="484"/>
      <c r="F199" s="484"/>
      <c r="G199" s="484"/>
      <c r="H199" s="484"/>
      <c r="I199" s="484"/>
      <c r="J199" s="484"/>
      <c r="K199" s="484"/>
      <c r="L199" s="484"/>
      <c r="M199" s="484"/>
    </row>
    <row r="200" spans="1:13" x14ac:dyDescent="0.6">
      <c r="A200" s="484"/>
      <c r="B200" s="484"/>
      <c r="C200" s="484"/>
      <c r="D200" s="484"/>
      <c r="E200" s="484"/>
      <c r="F200" s="484"/>
      <c r="G200" s="484"/>
      <c r="H200" s="484"/>
      <c r="I200" s="484"/>
      <c r="J200" s="484"/>
      <c r="K200" s="484"/>
      <c r="L200" s="484"/>
      <c r="M200" s="484"/>
    </row>
    <row r="201" spans="1:13" x14ac:dyDescent="0.6">
      <c r="A201" s="484"/>
      <c r="B201" s="484"/>
      <c r="C201" s="484"/>
      <c r="D201" s="484"/>
      <c r="E201" s="484"/>
      <c r="F201" s="484"/>
      <c r="G201" s="484"/>
      <c r="H201" s="484"/>
      <c r="I201" s="484"/>
      <c r="J201" s="484"/>
      <c r="K201" s="484"/>
      <c r="L201" s="484"/>
      <c r="M201" s="484"/>
    </row>
    <row r="202" spans="1:13" x14ac:dyDescent="0.6">
      <c r="A202" s="484"/>
      <c r="B202" s="484"/>
      <c r="C202" s="484"/>
      <c r="D202" s="484"/>
      <c r="E202" s="484"/>
      <c r="F202" s="484"/>
      <c r="G202" s="484"/>
      <c r="H202" s="484"/>
      <c r="I202" s="484"/>
      <c r="J202" s="484"/>
      <c r="K202" s="484"/>
      <c r="L202" s="484"/>
      <c r="M202" s="484"/>
    </row>
    <row r="203" spans="1:13" x14ac:dyDescent="0.6">
      <c r="A203" s="484"/>
      <c r="B203" s="484"/>
      <c r="C203" s="484"/>
      <c r="D203" s="484"/>
      <c r="E203" s="484"/>
      <c r="F203" s="484"/>
      <c r="G203" s="484"/>
      <c r="H203" s="484"/>
      <c r="I203" s="484"/>
      <c r="J203" s="484"/>
      <c r="K203" s="484"/>
      <c r="L203" s="484"/>
      <c r="M203" s="484"/>
    </row>
    <row r="204" spans="1:13" x14ac:dyDescent="0.6">
      <c r="A204" s="484"/>
      <c r="B204" s="484"/>
      <c r="C204" s="484"/>
      <c r="D204" s="484"/>
      <c r="E204" s="484"/>
      <c r="F204" s="484"/>
      <c r="G204" s="484"/>
      <c r="H204" s="484"/>
      <c r="I204" s="484"/>
      <c r="J204" s="484"/>
      <c r="K204" s="484"/>
      <c r="L204" s="484"/>
      <c r="M204" s="484"/>
    </row>
    <row r="205" spans="1:13" x14ac:dyDescent="0.6">
      <c r="A205" s="484"/>
      <c r="B205" s="484"/>
      <c r="C205" s="484"/>
      <c r="D205" s="484"/>
      <c r="E205" s="484"/>
      <c r="F205" s="484"/>
      <c r="G205" s="484"/>
      <c r="H205" s="484"/>
      <c r="I205" s="484"/>
      <c r="J205" s="484"/>
      <c r="K205" s="484"/>
      <c r="L205" s="484"/>
      <c r="M205" s="484"/>
    </row>
    <row r="206" spans="1:13" x14ac:dyDescent="0.6">
      <c r="A206" s="484"/>
      <c r="B206" s="484"/>
      <c r="C206" s="484"/>
      <c r="D206" s="484"/>
      <c r="E206" s="484"/>
      <c r="F206" s="484"/>
      <c r="G206" s="484"/>
      <c r="H206" s="484"/>
      <c r="I206" s="484"/>
      <c r="J206" s="484"/>
      <c r="K206" s="484"/>
      <c r="L206" s="484"/>
      <c r="M206" s="484"/>
    </row>
    <row r="207" spans="1:13" x14ac:dyDescent="0.6">
      <c r="A207" s="484"/>
      <c r="B207" s="484"/>
      <c r="C207" s="484"/>
      <c r="D207" s="484"/>
      <c r="E207" s="484"/>
      <c r="F207" s="484"/>
      <c r="G207" s="484"/>
      <c r="H207" s="484"/>
      <c r="I207" s="484"/>
      <c r="J207" s="484"/>
      <c r="K207" s="484"/>
      <c r="L207" s="484"/>
      <c r="M207" s="484"/>
    </row>
    <row r="208" spans="1:13" x14ac:dyDescent="0.6">
      <c r="A208" s="484"/>
      <c r="B208" s="484"/>
      <c r="C208" s="484"/>
      <c r="D208" s="484"/>
      <c r="E208" s="484"/>
      <c r="F208" s="484"/>
      <c r="G208" s="484"/>
      <c r="H208" s="484"/>
      <c r="I208" s="484"/>
      <c r="J208" s="484"/>
      <c r="K208" s="484"/>
      <c r="L208" s="484"/>
      <c r="M208" s="484"/>
    </row>
    <row r="209" spans="1:13" x14ac:dyDescent="0.6">
      <c r="A209" s="484"/>
      <c r="B209" s="484"/>
      <c r="C209" s="484"/>
      <c r="D209" s="484"/>
      <c r="E209" s="484"/>
      <c r="F209" s="484"/>
      <c r="G209" s="484"/>
      <c r="H209" s="484"/>
      <c r="I209" s="484"/>
      <c r="J209" s="484"/>
      <c r="K209" s="484"/>
      <c r="L209" s="484"/>
      <c r="M209" s="484"/>
    </row>
    <row r="210" spans="1:13" x14ac:dyDescent="0.6">
      <c r="A210" s="484"/>
      <c r="B210" s="484"/>
      <c r="C210" s="484"/>
      <c r="D210" s="484"/>
      <c r="E210" s="484"/>
      <c r="F210" s="484"/>
      <c r="G210" s="484"/>
      <c r="H210" s="484"/>
      <c r="I210" s="484"/>
      <c r="J210" s="484"/>
      <c r="K210" s="484"/>
      <c r="L210" s="484"/>
      <c r="M210" s="484"/>
    </row>
    <row r="211" spans="1:13" x14ac:dyDescent="0.6">
      <c r="A211" s="484"/>
      <c r="B211" s="484"/>
      <c r="C211" s="484"/>
      <c r="D211" s="484"/>
      <c r="E211" s="484"/>
      <c r="F211" s="484"/>
      <c r="G211" s="484"/>
      <c r="H211" s="484"/>
      <c r="I211" s="484"/>
      <c r="J211" s="484"/>
      <c r="K211" s="484"/>
      <c r="L211" s="484"/>
      <c r="M211" s="484"/>
    </row>
    <row r="212" spans="1:13" x14ac:dyDescent="0.6">
      <c r="A212" s="484"/>
      <c r="B212" s="484"/>
      <c r="C212" s="484"/>
      <c r="D212" s="484"/>
      <c r="E212" s="484"/>
      <c r="F212" s="484"/>
      <c r="G212" s="484"/>
      <c r="H212" s="484"/>
      <c r="I212" s="484"/>
      <c r="J212" s="484"/>
      <c r="K212" s="484"/>
      <c r="L212" s="484"/>
      <c r="M212" s="484"/>
    </row>
    <row r="213" spans="1:13" x14ac:dyDescent="0.6">
      <c r="A213" s="484"/>
      <c r="B213" s="484"/>
      <c r="C213" s="484"/>
      <c r="D213" s="484"/>
      <c r="E213" s="484"/>
      <c r="F213" s="484"/>
      <c r="G213" s="484"/>
      <c r="H213" s="484"/>
      <c r="I213" s="484"/>
      <c r="J213" s="484"/>
      <c r="K213" s="484"/>
      <c r="L213" s="484"/>
      <c r="M213" s="484"/>
    </row>
    <row r="214" spans="1:13" x14ac:dyDescent="0.6">
      <c r="A214" s="484"/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  <c r="L214" s="484"/>
      <c r="M214" s="484"/>
    </row>
    <row r="215" spans="1:13" x14ac:dyDescent="0.6">
      <c r="A215" s="484"/>
      <c r="B215" s="484"/>
      <c r="C215" s="484"/>
      <c r="D215" s="484"/>
      <c r="E215" s="484"/>
      <c r="F215" s="484"/>
      <c r="G215" s="484"/>
      <c r="H215" s="484"/>
      <c r="I215" s="484"/>
      <c r="J215" s="484"/>
      <c r="K215" s="484"/>
      <c r="L215" s="484"/>
      <c r="M215" s="484"/>
    </row>
    <row r="216" spans="1:13" x14ac:dyDescent="0.6">
      <c r="A216" s="484"/>
      <c r="B216" s="484"/>
      <c r="C216" s="484"/>
      <c r="D216" s="484"/>
      <c r="E216" s="484"/>
      <c r="F216" s="484"/>
      <c r="G216" s="484"/>
      <c r="H216" s="484"/>
      <c r="I216" s="484"/>
      <c r="J216" s="484"/>
      <c r="K216" s="484"/>
      <c r="L216" s="484"/>
      <c r="M216" s="484"/>
    </row>
    <row r="217" spans="1:13" x14ac:dyDescent="0.6">
      <c r="A217" s="484"/>
      <c r="B217" s="484"/>
      <c r="C217" s="484"/>
      <c r="D217" s="484"/>
      <c r="E217" s="484"/>
      <c r="F217" s="484"/>
      <c r="G217" s="484"/>
      <c r="H217" s="484"/>
      <c r="I217" s="484"/>
      <c r="J217" s="484"/>
      <c r="K217" s="484"/>
      <c r="L217" s="484"/>
      <c r="M217" s="484"/>
    </row>
    <row r="218" spans="1:13" x14ac:dyDescent="0.6">
      <c r="A218" s="484"/>
      <c r="B218" s="484"/>
      <c r="C218" s="484"/>
      <c r="D218" s="484"/>
      <c r="E218" s="484"/>
      <c r="F218" s="484"/>
      <c r="G218" s="484"/>
      <c r="H218" s="484"/>
      <c r="I218" s="484"/>
      <c r="J218" s="484"/>
      <c r="K218" s="484"/>
      <c r="L218" s="484"/>
      <c r="M218" s="484"/>
    </row>
    <row r="219" spans="1:13" x14ac:dyDescent="0.6">
      <c r="A219" s="484"/>
      <c r="B219" s="484"/>
      <c r="C219" s="484"/>
      <c r="D219" s="484"/>
      <c r="E219" s="484"/>
      <c r="F219" s="484"/>
      <c r="G219" s="484"/>
      <c r="H219" s="484"/>
      <c r="I219" s="484"/>
      <c r="J219" s="484"/>
      <c r="K219" s="484"/>
      <c r="L219" s="484"/>
      <c r="M219" s="484"/>
    </row>
    <row r="220" spans="1:13" x14ac:dyDescent="0.6">
      <c r="A220" s="484"/>
      <c r="B220" s="484"/>
      <c r="C220" s="484"/>
      <c r="D220" s="484"/>
      <c r="E220" s="484"/>
      <c r="F220" s="484"/>
      <c r="G220" s="484"/>
      <c r="H220" s="484"/>
      <c r="I220" s="484"/>
      <c r="J220" s="484"/>
      <c r="K220" s="484"/>
      <c r="L220" s="484"/>
      <c r="M220" s="484"/>
    </row>
    <row r="221" spans="1:13" x14ac:dyDescent="0.6">
      <c r="A221" s="484"/>
      <c r="B221" s="484"/>
      <c r="C221" s="484"/>
      <c r="D221" s="484"/>
      <c r="E221" s="484"/>
      <c r="F221" s="484"/>
      <c r="G221" s="484"/>
      <c r="H221" s="484"/>
      <c r="I221" s="484"/>
      <c r="J221" s="484"/>
      <c r="K221" s="484"/>
      <c r="L221" s="484"/>
      <c r="M221" s="484"/>
    </row>
    <row r="222" spans="1:13" x14ac:dyDescent="0.6">
      <c r="A222" s="484"/>
      <c r="B222" s="484"/>
      <c r="C222" s="484"/>
      <c r="D222" s="484"/>
      <c r="E222" s="484"/>
      <c r="F222" s="484"/>
      <c r="G222" s="484"/>
      <c r="H222" s="484"/>
      <c r="I222" s="484"/>
      <c r="J222" s="484"/>
      <c r="K222" s="484"/>
      <c r="L222" s="484"/>
      <c r="M222" s="484"/>
    </row>
    <row r="223" spans="1:13" x14ac:dyDescent="0.6">
      <c r="A223" s="484"/>
      <c r="B223" s="484"/>
      <c r="C223" s="484"/>
      <c r="D223" s="484"/>
      <c r="E223" s="484"/>
      <c r="F223" s="484"/>
      <c r="G223" s="484"/>
      <c r="H223" s="484"/>
      <c r="I223" s="484"/>
      <c r="J223" s="484"/>
      <c r="K223" s="484"/>
      <c r="L223" s="484"/>
      <c r="M223" s="484"/>
    </row>
    <row r="224" spans="1:13" x14ac:dyDescent="0.6">
      <c r="A224" s="484"/>
      <c r="B224" s="484"/>
      <c r="C224" s="484"/>
      <c r="D224" s="484"/>
      <c r="E224" s="484"/>
      <c r="F224" s="484"/>
      <c r="G224" s="484"/>
      <c r="H224" s="484"/>
      <c r="I224" s="484"/>
      <c r="J224" s="484"/>
      <c r="K224" s="484"/>
      <c r="L224" s="484"/>
      <c r="M224" s="484"/>
    </row>
    <row r="225" spans="1:13" x14ac:dyDescent="0.6">
      <c r="A225" s="484"/>
      <c r="B225" s="484"/>
      <c r="C225" s="484"/>
      <c r="D225" s="484"/>
      <c r="E225" s="484"/>
      <c r="F225" s="484"/>
      <c r="G225" s="484"/>
      <c r="H225" s="484"/>
      <c r="I225" s="484"/>
      <c r="J225" s="484"/>
      <c r="K225" s="484"/>
      <c r="L225" s="484"/>
      <c r="M225" s="484"/>
    </row>
    <row r="226" spans="1:13" x14ac:dyDescent="0.6">
      <c r="A226" s="484"/>
      <c r="B226" s="484"/>
      <c r="C226" s="484"/>
      <c r="D226" s="484"/>
      <c r="E226" s="484"/>
      <c r="F226" s="484"/>
      <c r="G226" s="484"/>
      <c r="H226" s="484"/>
      <c r="I226" s="484"/>
      <c r="J226" s="484"/>
      <c r="K226" s="484"/>
      <c r="L226" s="484"/>
      <c r="M226" s="484"/>
    </row>
    <row r="227" spans="1:13" x14ac:dyDescent="0.6">
      <c r="A227" s="484"/>
      <c r="B227" s="484"/>
      <c r="C227" s="484"/>
      <c r="D227" s="484"/>
      <c r="E227" s="484"/>
      <c r="F227" s="484"/>
      <c r="G227" s="484"/>
      <c r="H227" s="484"/>
      <c r="I227" s="484"/>
      <c r="J227" s="484"/>
      <c r="K227" s="484"/>
      <c r="L227" s="484"/>
      <c r="M227" s="484"/>
    </row>
    <row r="228" spans="1:13" x14ac:dyDescent="0.6">
      <c r="A228" s="484"/>
      <c r="B228" s="484"/>
      <c r="C228" s="484"/>
      <c r="D228" s="484"/>
      <c r="E228" s="484"/>
      <c r="F228" s="484"/>
      <c r="G228" s="484"/>
      <c r="H228" s="484"/>
      <c r="I228" s="484"/>
      <c r="J228" s="484"/>
      <c r="K228" s="484"/>
      <c r="L228" s="484"/>
      <c r="M228" s="484"/>
    </row>
    <row r="229" spans="1:13" x14ac:dyDescent="0.6">
      <c r="A229" s="484"/>
      <c r="B229" s="484"/>
      <c r="C229" s="484"/>
      <c r="D229" s="484"/>
      <c r="E229" s="484"/>
      <c r="F229" s="484"/>
      <c r="G229" s="484"/>
      <c r="H229" s="484"/>
      <c r="I229" s="484"/>
      <c r="J229" s="484"/>
      <c r="K229" s="484"/>
      <c r="L229" s="484"/>
      <c r="M229" s="484"/>
    </row>
    <row r="230" spans="1:13" x14ac:dyDescent="0.6">
      <c r="A230" s="484"/>
      <c r="B230" s="484"/>
      <c r="C230" s="484"/>
      <c r="D230" s="484"/>
      <c r="E230" s="484"/>
      <c r="F230" s="484"/>
      <c r="G230" s="484"/>
      <c r="H230" s="484"/>
      <c r="I230" s="484"/>
      <c r="J230" s="484"/>
      <c r="K230" s="484"/>
      <c r="L230" s="484"/>
      <c r="M230" s="484"/>
    </row>
    <row r="231" spans="1:13" x14ac:dyDescent="0.6">
      <c r="A231" s="484"/>
      <c r="B231" s="484"/>
      <c r="C231" s="484"/>
      <c r="D231" s="484"/>
      <c r="E231" s="484"/>
      <c r="F231" s="484"/>
      <c r="G231" s="484"/>
      <c r="H231" s="484"/>
      <c r="I231" s="484"/>
      <c r="J231" s="484"/>
      <c r="K231" s="484"/>
      <c r="L231" s="484"/>
      <c r="M231" s="484"/>
    </row>
    <row r="232" spans="1:13" x14ac:dyDescent="0.6">
      <c r="A232" s="484"/>
      <c r="B232" s="484"/>
      <c r="C232" s="484"/>
      <c r="D232" s="484"/>
      <c r="E232" s="484"/>
      <c r="F232" s="484"/>
      <c r="G232" s="484"/>
      <c r="H232" s="484"/>
      <c r="I232" s="484"/>
      <c r="J232" s="484"/>
      <c r="K232" s="484"/>
      <c r="L232" s="484"/>
      <c r="M232" s="484"/>
    </row>
    <row r="233" spans="1:13" x14ac:dyDescent="0.6">
      <c r="A233" s="484"/>
      <c r="B233" s="484"/>
      <c r="C233" s="484"/>
      <c r="D233" s="484"/>
      <c r="E233" s="484"/>
      <c r="F233" s="484"/>
      <c r="G233" s="484"/>
      <c r="H233" s="484"/>
      <c r="I233" s="484"/>
      <c r="J233" s="484"/>
      <c r="K233" s="484"/>
      <c r="L233" s="484"/>
      <c r="M233" s="484"/>
    </row>
    <row r="234" spans="1:13" x14ac:dyDescent="0.6">
      <c r="A234" s="484"/>
      <c r="B234" s="484"/>
      <c r="C234" s="484"/>
      <c r="D234" s="484"/>
      <c r="E234" s="484"/>
      <c r="F234" s="484"/>
      <c r="G234" s="484"/>
      <c r="H234" s="484"/>
      <c r="I234" s="484"/>
      <c r="J234" s="484"/>
      <c r="K234" s="484"/>
      <c r="L234" s="484"/>
      <c r="M234" s="484"/>
    </row>
    <row r="235" spans="1:13" x14ac:dyDescent="0.6">
      <c r="A235" s="484"/>
      <c r="B235" s="484"/>
      <c r="C235" s="484"/>
      <c r="D235" s="484"/>
      <c r="E235" s="484"/>
      <c r="F235" s="484"/>
      <c r="G235" s="484"/>
      <c r="H235" s="484"/>
      <c r="I235" s="484"/>
      <c r="J235" s="484"/>
      <c r="K235" s="484"/>
      <c r="L235" s="484"/>
      <c r="M235" s="484"/>
    </row>
    <row r="236" spans="1:13" x14ac:dyDescent="0.6">
      <c r="A236" s="484"/>
      <c r="B236" s="484"/>
      <c r="C236" s="484"/>
      <c r="D236" s="484"/>
      <c r="E236" s="484"/>
      <c r="F236" s="484"/>
      <c r="G236" s="484"/>
      <c r="H236" s="484"/>
      <c r="I236" s="484"/>
      <c r="J236" s="484"/>
      <c r="K236" s="484"/>
      <c r="L236" s="484"/>
      <c r="M236" s="484"/>
    </row>
    <row r="237" spans="1:13" x14ac:dyDescent="0.6">
      <c r="A237" s="484"/>
      <c r="B237" s="484"/>
      <c r="C237" s="484"/>
      <c r="D237" s="484"/>
      <c r="E237" s="484"/>
      <c r="F237" s="484"/>
      <c r="G237" s="484"/>
      <c r="H237" s="484"/>
      <c r="I237" s="484"/>
      <c r="J237" s="484"/>
      <c r="K237" s="484"/>
      <c r="L237" s="484"/>
      <c r="M237" s="484"/>
    </row>
    <row r="238" spans="1:13" x14ac:dyDescent="0.6">
      <c r="A238" s="484"/>
      <c r="B238" s="484"/>
      <c r="C238" s="484"/>
      <c r="D238" s="484"/>
      <c r="E238" s="484"/>
      <c r="F238" s="484"/>
      <c r="G238" s="484"/>
      <c r="H238" s="484"/>
      <c r="I238" s="484"/>
      <c r="J238" s="484"/>
      <c r="K238" s="484"/>
      <c r="L238" s="484"/>
      <c r="M238" s="484"/>
    </row>
    <row r="239" spans="1:13" x14ac:dyDescent="0.6">
      <c r="A239" s="484"/>
      <c r="B239" s="484"/>
      <c r="C239" s="484"/>
      <c r="D239" s="484"/>
      <c r="E239" s="484"/>
      <c r="F239" s="484"/>
      <c r="G239" s="484"/>
      <c r="H239" s="484"/>
      <c r="I239" s="484"/>
      <c r="J239" s="484"/>
      <c r="K239" s="484"/>
      <c r="L239" s="484"/>
      <c r="M239" s="484"/>
    </row>
    <row r="240" spans="1:13" x14ac:dyDescent="0.6">
      <c r="A240" s="484"/>
      <c r="B240" s="484"/>
      <c r="C240" s="484"/>
      <c r="D240" s="484"/>
      <c r="E240" s="484"/>
      <c r="F240" s="484"/>
      <c r="G240" s="484"/>
      <c r="H240" s="484"/>
      <c r="I240" s="484"/>
      <c r="J240" s="484"/>
      <c r="K240" s="484"/>
      <c r="L240" s="484"/>
      <c r="M240" s="484"/>
    </row>
    <row r="241" spans="1:13" x14ac:dyDescent="0.6">
      <c r="A241" s="484"/>
      <c r="B241" s="484"/>
      <c r="C241" s="484"/>
      <c r="D241" s="484"/>
      <c r="E241" s="484"/>
      <c r="F241" s="484"/>
      <c r="G241" s="484"/>
      <c r="H241" s="484"/>
      <c r="I241" s="484"/>
      <c r="J241" s="484"/>
      <c r="K241" s="484"/>
      <c r="L241" s="484"/>
      <c r="M241" s="484"/>
    </row>
    <row r="242" spans="1:13" x14ac:dyDescent="0.6">
      <c r="A242" s="484"/>
      <c r="B242" s="484"/>
      <c r="C242" s="484"/>
      <c r="D242" s="484"/>
      <c r="E242" s="484"/>
      <c r="F242" s="484"/>
      <c r="G242" s="484"/>
      <c r="H242" s="484"/>
      <c r="I242" s="484"/>
      <c r="J242" s="484"/>
      <c r="K242" s="484"/>
      <c r="L242" s="484"/>
      <c r="M242" s="484"/>
    </row>
    <row r="243" spans="1:13" x14ac:dyDescent="0.6">
      <c r="A243" s="484"/>
      <c r="B243" s="484"/>
      <c r="C243" s="484"/>
      <c r="D243" s="484"/>
      <c r="E243" s="484"/>
      <c r="F243" s="484"/>
      <c r="G243" s="484"/>
      <c r="H243" s="484"/>
      <c r="I243" s="484"/>
      <c r="J243" s="484"/>
      <c r="K243" s="484"/>
      <c r="L243" s="484"/>
      <c r="M243" s="484"/>
    </row>
    <row r="244" spans="1:13" x14ac:dyDescent="0.6">
      <c r="A244" s="484"/>
      <c r="B244" s="484"/>
      <c r="C244" s="484"/>
      <c r="D244" s="484"/>
      <c r="E244" s="484"/>
      <c r="F244" s="484"/>
      <c r="G244" s="484"/>
      <c r="H244" s="484"/>
      <c r="I244" s="484"/>
      <c r="J244" s="484"/>
      <c r="K244" s="484"/>
      <c r="L244" s="484"/>
      <c r="M244" s="484"/>
    </row>
    <row r="245" spans="1:13" x14ac:dyDescent="0.6">
      <c r="A245" s="484"/>
      <c r="B245" s="484"/>
      <c r="C245" s="484"/>
      <c r="D245" s="484"/>
      <c r="E245" s="484"/>
      <c r="F245" s="484"/>
      <c r="G245" s="484"/>
      <c r="H245" s="484"/>
      <c r="I245" s="484"/>
      <c r="J245" s="484"/>
      <c r="K245" s="484"/>
      <c r="L245" s="484"/>
      <c r="M245" s="484"/>
    </row>
    <row r="246" spans="1:13" x14ac:dyDescent="0.6">
      <c r="A246" s="484"/>
      <c r="B246" s="484"/>
      <c r="C246" s="484"/>
      <c r="D246" s="484"/>
      <c r="E246" s="484"/>
      <c r="F246" s="484"/>
      <c r="G246" s="484"/>
      <c r="H246" s="484"/>
      <c r="I246" s="484"/>
      <c r="J246" s="484"/>
      <c r="K246" s="484"/>
      <c r="L246" s="484"/>
      <c r="M246" s="484"/>
    </row>
    <row r="247" spans="1:13" x14ac:dyDescent="0.6">
      <c r="A247" s="484"/>
      <c r="B247" s="484"/>
      <c r="C247" s="484"/>
      <c r="D247" s="484"/>
      <c r="E247" s="484"/>
      <c r="F247" s="484"/>
      <c r="G247" s="484"/>
      <c r="H247" s="484"/>
      <c r="I247" s="484"/>
      <c r="J247" s="484"/>
      <c r="K247" s="484"/>
      <c r="L247" s="484"/>
      <c r="M247" s="484"/>
    </row>
    <row r="248" spans="1:13" x14ac:dyDescent="0.6">
      <c r="A248" s="484"/>
      <c r="B248" s="484"/>
      <c r="C248" s="484"/>
      <c r="D248" s="484"/>
      <c r="E248" s="484"/>
      <c r="F248" s="484"/>
      <c r="G248" s="484"/>
      <c r="H248" s="484"/>
      <c r="I248" s="484"/>
      <c r="J248" s="484"/>
      <c r="K248" s="484"/>
      <c r="L248" s="484"/>
      <c r="M248" s="484"/>
    </row>
    <row r="249" spans="1:13" x14ac:dyDescent="0.6">
      <c r="A249" s="484"/>
      <c r="B249" s="484"/>
      <c r="C249" s="484"/>
      <c r="D249" s="484"/>
      <c r="E249" s="484"/>
      <c r="F249" s="484"/>
      <c r="G249" s="484"/>
      <c r="H249" s="484"/>
      <c r="I249" s="484"/>
      <c r="J249" s="484"/>
      <c r="K249" s="484"/>
      <c r="L249" s="484"/>
      <c r="M249" s="484"/>
    </row>
    <row r="250" spans="1:13" x14ac:dyDescent="0.6">
      <c r="A250" s="484"/>
      <c r="B250" s="484"/>
      <c r="C250" s="484"/>
      <c r="D250" s="484"/>
      <c r="E250" s="484"/>
      <c r="F250" s="484"/>
      <c r="G250" s="484"/>
      <c r="H250" s="484"/>
      <c r="I250" s="484"/>
      <c r="J250" s="484"/>
      <c r="K250" s="484"/>
      <c r="L250" s="484"/>
      <c r="M250" s="484"/>
    </row>
    <row r="251" spans="1:13" x14ac:dyDescent="0.6">
      <c r="A251" s="484"/>
      <c r="B251" s="484"/>
      <c r="C251" s="484"/>
      <c r="D251" s="484"/>
      <c r="E251" s="484"/>
      <c r="F251" s="484"/>
      <c r="G251" s="484"/>
      <c r="H251" s="484"/>
      <c r="I251" s="484"/>
      <c r="J251" s="484"/>
      <c r="K251" s="484"/>
      <c r="L251" s="484"/>
      <c r="M251" s="484"/>
    </row>
    <row r="252" spans="1:13" x14ac:dyDescent="0.6">
      <c r="A252" s="484"/>
      <c r="B252" s="484"/>
      <c r="C252" s="484"/>
      <c r="D252" s="484"/>
      <c r="E252" s="484"/>
      <c r="F252" s="484"/>
      <c r="G252" s="484"/>
      <c r="H252" s="484"/>
      <c r="I252" s="484"/>
      <c r="J252" s="484"/>
      <c r="K252" s="484"/>
      <c r="L252" s="484"/>
      <c r="M252" s="484"/>
    </row>
    <row r="253" spans="1:13" x14ac:dyDescent="0.6">
      <c r="A253" s="484"/>
      <c r="B253" s="484"/>
      <c r="C253" s="484"/>
      <c r="D253" s="484"/>
      <c r="E253" s="484"/>
      <c r="F253" s="484"/>
      <c r="G253" s="484"/>
      <c r="H253" s="484"/>
      <c r="I253" s="484"/>
      <c r="J253" s="484"/>
      <c r="K253" s="484"/>
      <c r="L253" s="484"/>
      <c r="M253" s="484"/>
    </row>
    <row r="254" spans="1:13" x14ac:dyDescent="0.6">
      <c r="A254" s="484"/>
      <c r="B254" s="484"/>
      <c r="C254" s="484"/>
      <c r="D254" s="484"/>
      <c r="E254" s="484"/>
      <c r="F254" s="484"/>
      <c r="G254" s="484"/>
      <c r="H254" s="484"/>
      <c r="I254" s="484"/>
      <c r="J254" s="484"/>
      <c r="K254" s="484"/>
      <c r="L254" s="484"/>
      <c r="M254" s="484"/>
    </row>
    <row r="255" spans="1:13" x14ac:dyDescent="0.6">
      <c r="A255" s="484"/>
      <c r="B255" s="484"/>
      <c r="C255" s="484"/>
      <c r="D255" s="484"/>
      <c r="E255" s="484"/>
      <c r="F255" s="484"/>
      <c r="G255" s="484"/>
      <c r="H255" s="484"/>
      <c r="I255" s="484"/>
      <c r="J255" s="484"/>
      <c r="K255" s="484"/>
      <c r="L255" s="484"/>
      <c r="M255" s="484"/>
    </row>
    <row r="256" spans="1:13" x14ac:dyDescent="0.6">
      <c r="A256" s="484"/>
      <c r="B256" s="484"/>
      <c r="C256" s="484"/>
      <c r="D256" s="484"/>
      <c r="E256" s="484"/>
      <c r="F256" s="484"/>
      <c r="G256" s="484"/>
      <c r="H256" s="484"/>
      <c r="I256" s="484"/>
      <c r="J256" s="484"/>
      <c r="K256" s="484"/>
      <c r="L256" s="484"/>
      <c r="M256" s="484"/>
    </row>
    <row r="257" spans="1:13" x14ac:dyDescent="0.6">
      <c r="A257" s="484"/>
      <c r="B257" s="484"/>
      <c r="C257" s="484"/>
      <c r="D257" s="484"/>
      <c r="E257" s="484"/>
      <c r="F257" s="484"/>
      <c r="G257" s="484"/>
      <c r="H257" s="484"/>
      <c r="I257" s="484"/>
      <c r="J257" s="484"/>
      <c r="K257" s="484"/>
      <c r="L257" s="484"/>
      <c r="M257" s="484"/>
    </row>
    <row r="258" spans="1:13" x14ac:dyDescent="0.6">
      <c r="A258" s="484"/>
      <c r="B258" s="484"/>
      <c r="C258" s="484"/>
      <c r="D258" s="484"/>
      <c r="E258" s="484"/>
      <c r="F258" s="484"/>
      <c r="G258" s="484"/>
      <c r="H258" s="484"/>
      <c r="I258" s="484"/>
      <c r="J258" s="484"/>
      <c r="K258" s="484"/>
      <c r="L258" s="484"/>
      <c r="M258" s="484"/>
    </row>
    <row r="259" spans="1:13" x14ac:dyDescent="0.6">
      <c r="A259" s="484"/>
      <c r="B259" s="484"/>
      <c r="C259" s="484"/>
      <c r="D259" s="484"/>
      <c r="E259" s="484"/>
      <c r="F259" s="484"/>
      <c r="G259" s="484"/>
      <c r="H259" s="484"/>
      <c r="I259" s="484"/>
      <c r="J259" s="484"/>
      <c r="K259" s="484"/>
      <c r="L259" s="484"/>
      <c r="M259" s="484"/>
    </row>
    <row r="260" spans="1:13" x14ac:dyDescent="0.6">
      <c r="A260" s="484"/>
      <c r="B260" s="484"/>
      <c r="C260" s="484"/>
      <c r="D260" s="484"/>
      <c r="E260" s="484"/>
      <c r="F260" s="484"/>
      <c r="G260" s="484"/>
      <c r="H260" s="484"/>
      <c r="I260" s="484"/>
      <c r="J260" s="484"/>
      <c r="K260" s="484"/>
      <c r="L260" s="484"/>
      <c r="M260" s="484"/>
    </row>
    <row r="261" spans="1:13" x14ac:dyDescent="0.6">
      <c r="A261" s="484"/>
      <c r="B261" s="484"/>
      <c r="C261" s="484"/>
      <c r="D261" s="484"/>
      <c r="E261" s="484"/>
      <c r="F261" s="484"/>
      <c r="G261" s="484"/>
      <c r="H261" s="484"/>
      <c r="I261" s="484"/>
      <c r="J261" s="484"/>
      <c r="K261" s="484"/>
      <c r="L261" s="484"/>
      <c r="M261" s="484"/>
    </row>
    <row r="262" spans="1:13" x14ac:dyDescent="0.6">
      <c r="A262" s="484"/>
      <c r="B262" s="484"/>
      <c r="C262" s="484"/>
      <c r="D262" s="484"/>
      <c r="E262" s="484"/>
      <c r="F262" s="484"/>
      <c r="G262" s="484"/>
      <c r="H262" s="484"/>
      <c r="I262" s="484"/>
      <c r="J262" s="484"/>
      <c r="K262" s="484"/>
      <c r="L262" s="484"/>
      <c r="M262" s="484"/>
    </row>
    <row r="263" spans="1:13" x14ac:dyDescent="0.6">
      <c r="A263" s="484"/>
      <c r="B263" s="484"/>
      <c r="C263" s="484"/>
      <c r="D263" s="484"/>
      <c r="E263" s="484"/>
      <c r="F263" s="484"/>
      <c r="G263" s="484"/>
      <c r="H263" s="484"/>
      <c r="I263" s="484"/>
      <c r="J263" s="484"/>
      <c r="K263" s="484"/>
      <c r="L263" s="484"/>
      <c r="M263" s="484"/>
    </row>
    <row r="264" spans="1:13" x14ac:dyDescent="0.6">
      <c r="A264" s="484"/>
      <c r="B264" s="484"/>
      <c r="C264" s="484"/>
      <c r="D264" s="484"/>
      <c r="E264" s="484"/>
      <c r="F264" s="484"/>
      <c r="G264" s="484"/>
      <c r="H264" s="484"/>
      <c r="I264" s="484"/>
      <c r="J264" s="484"/>
      <c r="K264" s="484"/>
      <c r="L264" s="484"/>
      <c r="M264" s="484"/>
    </row>
    <row r="265" spans="1:13" x14ac:dyDescent="0.6">
      <c r="A265" s="484"/>
      <c r="B265" s="484"/>
      <c r="C265" s="484"/>
      <c r="D265" s="484"/>
      <c r="E265" s="484"/>
      <c r="F265" s="484"/>
      <c r="G265" s="484"/>
      <c r="H265" s="484"/>
      <c r="I265" s="484"/>
      <c r="J265" s="484"/>
      <c r="K265" s="484"/>
      <c r="L265" s="484"/>
      <c r="M265" s="484"/>
    </row>
    <row r="266" spans="1:13" x14ac:dyDescent="0.6">
      <c r="A266" s="484"/>
      <c r="B266" s="484"/>
      <c r="C266" s="484"/>
      <c r="D266" s="484"/>
      <c r="E266" s="484"/>
      <c r="F266" s="484"/>
      <c r="G266" s="484"/>
      <c r="H266" s="484"/>
      <c r="I266" s="484"/>
      <c r="J266" s="484"/>
      <c r="K266" s="484"/>
      <c r="L266" s="484"/>
      <c r="M266" s="484"/>
    </row>
    <row r="267" spans="1:13" x14ac:dyDescent="0.6">
      <c r="A267" s="484"/>
      <c r="B267" s="484"/>
      <c r="C267" s="484"/>
      <c r="D267" s="484"/>
      <c r="E267" s="484"/>
      <c r="F267" s="484"/>
      <c r="G267" s="484"/>
      <c r="H267" s="484"/>
      <c r="I267" s="484"/>
      <c r="J267" s="484"/>
      <c r="K267" s="484"/>
      <c r="L267" s="484"/>
      <c r="M267" s="484"/>
    </row>
    <row r="268" spans="1:13" x14ac:dyDescent="0.6">
      <c r="A268" s="484"/>
      <c r="B268" s="484"/>
      <c r="C268" s="484"/>
      <c r="D268" s="484"/>
      <c r="E268" s="484"/>
      <c r="F268" s="484"/>
      <c r="G268" s="484"/>
      <c r="H268" s="484"/>
      <c r="I268" s="484"/>
      <c r="J268" s="484"/>
      <c r="K268" s="484"/>
      <c r="L268" s="484"/>
      <c r="M268" s="484"/>
    </row>
    <row r="269" spans="1:13" x14ac:dyDescent="0.6">
      <c r="A269" s="484"/>
      <c r="B269" s="484"/>
      <c r="C269" s="484"/>
      <c r="D269" s="484"/>
      <c r="E269" s="484"/>
      <c r="F269" s="484"/>
      <c r="G269" s="484"/>
      <c r="H269" s="484"/>
      <c r="I269" s="484"/>
      <c r="J269" s="484"/>
      <c r="K269" s="484"/>
      <c r="L269" s="484"/>
      <c r="M269" s="484"/>
    </row>
    <row r="270" spans="1:13" x14ac:dyDescent="0.6">
      <c r="A270" s="484"/>
      <c r="B270" s="484"/>
      <c r="C270" s="484"/>
      <c r="D270" s="484"/>
      <c r="E270" s="484"/>
      <c r="F270" s="484"/>
      <c r="G270" s="484"/>
      <c r="H270" s="484"/>
      <c r="I270" s="484"/>
      <c r="J270" s="484"/>
      <c r="K270" s="484"/>
      <c r="L270" s="484"/>
      <c r="M270" s="484"/>
    </row>
    <row r="271" spans="1:13" x14ac:dyDescent="0.6">
      <c r="A271" s="484"/>
      <c r="B271" s="484"/>
      <c r="C271" s="484"/>
      <c r="D271" s="484"/>
      <c r="E271" s="484"/>
      <c r="F271" s="484"/>
      <c r="G271" s="484"/>
      <c r="H271" s="484"/>
      <c r="I271" s="484"/>
      <c r="J271" s="484"/>
      <c r="K271" s="484"/>
      <c r="L271" s="484"/>
      <c r="M271" s="484"/>
    </row>
    <row r="272" spans="1:13" x14ac:dyDescent="0.6">
      <c r="A272" s="484"/>
      <c r="B272" s="484"/>
      <c r="C272" s="484"/>
      <c r="D272" s="484"/>
      <c r="E272" s="484"/>
      <c r="F272" s="484"/>
      <c r="G272" s="484"/>
      <c r="H272" s="484"/>
      <c r="I272" s="484"/>
      <c r="J272" s="484"/>
      <c r="K272" s="484"/>
      <c r="L272" s="484"/>
      <c r="M272" s="484"/>
    </row>
    <row r="273" spans="1:13" x14ac:dyDescent="0.6">
      <c r="A273" s="484"/>
      <c r="B273" s="484"/>
      <c r="C273" s="484"/>
      <c r="D273" s="484"/>
      <c r="E273" s="484"/>
      <c r="F273" s="484"/>
      <c r="G273" s="484"/>
      <c r="H273" s="484"/>
      <c r="I273" s="484"/>
      <c r="J273" s="484"/>
      <c r="K273" s="484"/>
      <c r="L273" s="484"/>
      <c r="M273" s="484"/>
    </row>
    <row r="274" spans="1:13" x14ac:dyDescent="0.6">
      <c r="A274" s="484"/>
      <c r="B274" s="484"/>
      <c r="C274" s="484"/>
      <c r="D274" s="484"/>
      <c r="E274" s="484"/>
      <c r="F274" s="484"/>
      <c r="G274" s="484"/>
      <c r="H274" s="484"/>
      <c r="I274" s="484"/>
      <c r="J274" s="484"/>
      <c r="K274" s="484"/>
      <c r="L274" s="484"/>
      <c r="M274" s="484"/>
    </row>
    <row r="275" spans="1:13" x14ac:dyDescent="0.6">
      <c r="A275" s="484"/>
      <c r="B275" s="484"/>
      <c r="C275" s="484"/>
      <c r="D275" s="484"/>
      <c r="E275" s="484"/>
      <c r="F275" s="484"/>
      <c r="G275" s="484"/>
      <c r="H275" s="484"/>
      <c r="I275" s="484"/>
      <c r="J275" s="484"/>
      <c r="K275" s="484"/>
      <c r="L275" s="484"/>
      <c r="M275" s="484"/>
    </row>
    <row r="276" spans="1:13" x14ac:dyDescent="0.6">
      <c r="A276" s="484"/>
      <c r="B276" s="484"/>
      <c r="C276" s="484"/>
      <c r="D276" s="484"/>
      <c r="E276" s="484"/>
      <c r="F276" s="484"/>
      <c r="G276" s="484"/>
      <c r="H276" s="484"/>
      <c r="I276" s="484"/>
      <c r="J276" s="484"/>
      <c r="K276" s="484"/>
      <c r="L276" s="484"/>
      <c r="M276" s="484"/>
    </row>
    <row r="277" spans="1:13" x14ac:dyDescent="0.6">
      <c r="A277" s="484"/>
      <c r="B277" s="484"/>
      <c r="C277" s="484"/>
      <c r="D277" s="484"/>
      <c r="E277" s="484"/>
      <c r="F277" s="484"/>
      <c r="G277" s="484"/>
      <c r="H277" s="484"/>
      <c r="I277" s="484"/>
      <c r="J277" s="484"/>
      <c r="K277" s="484"/>
      <c r="L277" s="484"/>
      <c r="M277" s="484"/>
    </row>
    <row r="278" spans="1:13" x14ac:dyDescent="0.6">
      <c r="A278" s="484"/>
      <c r="B278" s="484"/>
      <c r="C278" s="484"/>
      <c r="D278" s="484"/>
      <c r="E278" s="484"/>
      <c r="F278" s="484"/>
      <c r="G278" s="484"/>
      <c r="H278" s="484"/>
      <c r="I278" s="484"/>
      <c r="J278" s="484"/>
      <c r="K278" s="484"/>
      <c r="L278" s="484"/>
      <c r="M278" s="484"/>
    </row>
    <row r="279" spans="1:13" x14ac:dyDescent="0.6">
      <c r="A279" s="484"/>
      <c r="B279" s="484"/>
      <c r="C279" s="484"/>
      <c r="D279" s="484"/>
      <c r="E279" s="484"/>
      <c r="F279" s="484"/>
      <c r="G279" s="484"/>
      <c r="H279" s="484"/>
      <c r="I279" s="484"/>
      <c r="J279" s="484"/>
      <c r="K279" s="484"/>
      <c r="L279" s="484"/>
      <c r="M279" s="484"/>
    </row>
    <row r="280" spans="1:13" x14ac:dyDescent="0.6">
      <c r="A280" s="484"/>
      <c r="B280" s="484"/>
      <c r="C280" s="484"/>
      <c r="D280" s="484"/>
      <c r="E280" s="484"/>
      <c r="F280" s="484"/>
      <c r="G280" s="484"/>
      <c r="H280" s="484"/>
      <c r="I280" s="484"/>
      <c r="J280" s="484"/>
      <c r="K280" s="484"/>
      <c r="L280" s="484"/>
      <c r="M280" s="484"/>
    </row>
    <row r="281" spans="1:13" x14ac:dyDescent="0.6">
      <c r="A281" s="484"/>
      <c r="B281" s="484"/>
      <c r="C281" s="484"/>
      <c r="D281" s="484"/>
      <c r="E281" s="484"/>
      <c r="F281" s="484"/>
      <c r="G281" s="484"/>
      <c r="H281" s="484"/>
      <c r="I281" s="484"/>
      <c r="J281" s="484"/>
      <c r="K281" s="484"/>
      <c r="L281" s="484"/>
      <c r="M281" s="484"/>
    </row>
    <row r="282" spans="1:13" x14ac:dyDescent="0.6">
      <c r="A282" s="484"/>
      <c r="B282" s="484"/>
      <c r="C282" s="484"/>
      <c r="D282" s="484"/>
      <c r="E282" s="484"/>
      <c r="F282" s="484"/>
      <c r="G282" s="484"/>
      <c r="H282" s="484"/>
      <c r="I282" s="484"/>
      <c r="J282" s="484"/>
      <c r="K282" s="484"/>
      <c r="L282" s="484"/>
      <c r="M282" s="484"/>
    </row>
    <row r="283" spans="1:13" x14ac:dyDescent="0.6">
      <c r="A283" s="484"/>
      <c r="B283" s="484"/>
      <c r="C283" s="484"/>
      <c r="D283" s="484"/>
      <c r="E283" s="484"/>
      <c r="F283" s="484"/>
      <c r="G283" s="484"/>
      <c r="H283" s="484"/>
      <c r="I283" s="484"/>
      <c r="J283" s="484"/>
      <c r="K283" s="484"/>
      <c r="L283" s="484"/>
      <c r="M283" s="484"/>
    </row>
    <row r="284" spans="1:13" x14ac:dyDescent="0.6">
      <c r="A284" s="484"/>
      <c r="B284" s="484"/>
      <c r="C284" s="484"/>
      <c r="D284" s="484"/>
      <c r="E284" s="484"/>
      <c r="F284" s="484"/>
      <c r="G284" s="484"/>
      <c r="H284" s="484"/>
      <c r="I284" s="484"/>
      <c r="J284" s="484"/>
      <c r="K284" s="484"/>
      <c r="L284" s="484"/>
      <c r="M284" s="484"/>
    </row>
    <row r="285" spans="1:13" x14ac:dyDescent="0.6">
      <c r="A285" s="484"/>
      <c r="B285" s="484"/>
      <c r="C285" s="484"/>
      <c r="D285" s="484"/>
      <c r="E285" s="484"/>
      <c r="F285" s="484"/>
      <c r="G285" s="484"/>
      <c r="H285" s="484"/>
      <c r="I285" s="484"/>
      <c r="J285" s="484"/>
      <c r="K285" s="484"/>
      <c r="L285" s="484"/>
      <c r="M285" s="484"/>
    </row>
    <row r="286" spans="1:13" x14ac:dyDescent="0.6">
      <c r="A286" s="484"/>
      <c r="B286" s="484"/>
      <c r="C286" s="484"/>
      <c r="D286" s="484"/>
      <c r="E286" s="484"/>
      <c r="F286" s="484"/>
      <c r="G286" s="484"/>
      <c r="H286" s="484"/>
      <c r="I286" s="484"/>
      <c r="J286" s="484"/>
      <c r="K286" s="484"/>
      <c r="L286" s="484"/>
      <c r="M286" s="484"/>
    </row>
    <row r="287" spans="1:13" x14ac:dyDescent="0.6">
      <c r="A287" s="484"/>
      <c r="B287" s="484"/>
      <c r="C287" s="484"/>
      <c r="D287" s="484"/>
      <c r="E287" s="484"/>
      <c r="F287" s="484"/>
      <c r="G287" s="484"/>
      <c r="H287" s="484"/>
      <c r="I287" s="484"/>
      <c r="J287" s="484"/>
      <c r="K287" s="484"/>
      <c r="L287" s="484"/>
      <c r="M287" s="484"/>
    </row>
    <row r="288" spans="1:13" x14ac:dyDescent="0.6">
      <c r="A288" s="484"/>
      <c r="B288" s="484"/>
      <c r="C288" s="484"/>
      <c r="D288" s="484"/>
      <c r="E288" s="484"/>
      <c r="F288" s="484"/>
      <c r="G288" s="484"/>
      <c r="H288" s="484"/>
      <c r="I288" s="484"/>
      <c r="J288" s="484"/>
      <c r="K288" s="484"/>
      <c r="L288" s="484"/>
      <c r="M288" s="484"/>
    </row>
    <row r="289" spans="1:13" x14ac:dyDescent="0.6">
      <c r="A289" s="484"/>
      <c r="B289" s="484"/>
      <c r="C289" s="484"/>
      <c r="D289" s="484"/>
      <c r="E289" s="484"/>
      <c r="F289" s="484"/>
      <c r="G289" s="484"/>
      <c r="H289" s="484"/>
      <c r="I289" s="484"/>
      <c r="J289" s="484"/>
      <c r="K289" s="484"/>
      <c r="L289" s="484"/>
      <c r="M289" s="484"/>
    </row>
    <row r="290" spans="1:13" x14ac:dyDescent="0.6">
      <c r="A290" s="484"/>
      <c r="B290" s="484"/>
      <c r="C290" s="484"/>
      <c r="D290" s="484"/>
      <c r="E290" s="484"/>
      <c r="F290" s="484"/>
      <c r="G290" s="484"/>
      <c r="H290" s="484"/>
      <c r="I290" s="484"/>
      <c r="J290" s="484"/>
      <c r="K290" s="484"/>
      <c r="L290" s="484"/>
      <c r="M290" s="484"/>
    </row>
    <row r="291" spans="1:13" x14ac:dyDescent="0.6">
      <c r="A291" s="484"/>
      <c r="B291" s="484"/>
      <c r="C291" s="484"/>
      <c r="D291" s="484"/>
      <c r="E291" s="484"/>
      <c r="F291" s="484"/>
      <c r="G291" s="484"/>
      <c r="H291" s="484"/>
      <c r="I291" s="484"/>
      <c r="J291" s="484"/>
      <c r="K291" s="484"/>
      <c r="L291" s="484"/>
      <c r="M291" s="484"/>
    </row>
    <row r="292" spans="1:13" x14ac:dyDescent="0.6">
      <c r="A292" s="484"/>
      <c r="B292" s="484"/>
      <c r="C292" s="484"/>
      <c r="D292" s="484"/>
      <c r="E292" s="484"/>
      <c r="F292" s="484"/>
      <c r="G292" s="484"/>
      <c r="H292" s="484"/>
      <c r="I292" s="484"/>
      <c r="J292" s="484"/>
      <c r="K292" s="484"/>
      <c r="L292" s="484"/>
      <c r="M292" s="484"/>
    </row>
    <row r="293" spans="1:13" x14ac:dyDescent="0.6">
      <c r="A293" s="484"/>
      <c r="B293" s="484"/>
      <c r="C293" s="484"/>
      <c r="D293" s="484"/>
      <c r="E293" s="484"/>
      <c r="F293" s="484"/>
      <c r="G293" s="484"/>
      <c r="H293" s="484"/>
      <c r="I293" s="484"/>
      <c r="J293" s="484"/>
      <c r="K293" s="484"/>
      <c r="L293" s="484"/>
      <c r="M293" s="484"/>
    </row>
    <row r="294" spans="1:13" x14ac:dyDescent="0.6">
      <c r="A294" s="484"/>
      <c r="B294" s="484"/>
      <c r="C294" s="484"/>
      <c r="D294" s="484"/>
      <c r="E294" s="484"/>
      <c r="F294" s="484"/>
      <c r="G294" s="484"/>
      <c r="H294" s="484"/>
      <c r="I294" s="484"/>
      <c r="J294" s="484"/>
      <c r="K294" s="484"/>
      <c r="L294" s="484"/>
      <c r="M294" s="484"/>
    </row>
    <row r="295" spans="1:13" x14ac:dyDescent="0.6">
      <c r="A295" s="484"/>
      <c r="B295" s="484"/>
      <c r="C295" s="484"/>
      <c r="D295" s="484"/>
      <c r="E295" s="484"/>
      <c r="F295" s="484"/>
      <c r="G295" s="484"/>
      <c r="H295" s="484"/>
      <c r="I295" s="484"/>
      <c r="J295" s="484"/>
      <c r="K295" s="484"/>
      <c r="L295" s="484"/>
      <c r="M295" s="484"/>
    </row>
    <row r="296" spans="1:13" x14ac:dyDescent="0.6">
      <c r="A296" s="484"/>
      <c r="B296" s="484"/>
      <c r="C296" s="484"/>
      <c r="D296" s="484"/>
      <c r="E296" s="484"/>
      <c r="F296" s="484"/>
      <c r="G296" s="484"/>
      <c r="H296" s="484"/>
      <c r="I296" s="484"/>
      <c r="J296" s="484"/>
      <c r="K296" s="484"/>
      <c r="L296" s="484"/>
      <c r="M296" s="484"/>
    </row>
    <row r="297" spans="1:13" x14ac:dyDescent="0.6">
      <c r="A297" s="484"/>
      <c r="B297" s="484"/>
      <c r="C297" s="484"/>
      <c r="D297" s="484"/>
      <c r="E297" s="484"/>
      <c r="F297" s="484"/>
      <c r="G297" s="484"/>
      <c r="H297" s="484"/>
      <c r="I297" s="484"/>
      <c r="J297" s="484"/>
      <c r="K297" s="484"/>
      <c r="L297" s="484"/>
      <c r="M297" s="484"/>
    </row>
    <row r="298" spans="1:13" x14ac:dyDescent="0.6">
      <c r="A298" s="484"/>
      <c r="B298" s="484"/>
      <c r="C298" s="484"/>
      <c r="D298" s="484"/>
      <c r="E298" s="484"/>
      <c r="F298" s="484"/>
      <c r="G298" s="484"/>
      <c r="H298" s="484"/>
      <c r="I298" s="484"/>
      <c r="J298" s="484"/>
      <c r="K298" s="484"/>
      <c r="L298" s="484"/>
      <c r="M298" s="484"/>
    </row>
    <row r="299" spans="1:13" x14ac:dyDescent="0.6">
      <c r="A299" s="484"/>
      <c r="B299" s="484"/>
      <c r="C299" s="484"/>
      <c r="D299" s="484"/>
      <c r="E299" s="484"/>
      <c r="F299" s="484"/>
      <c r="G299" s="484"/>
      <c r="H299" s="484"/>
      <c r="I299" s="484"/>
      <c r="J299" s="484"/>
      <c r="K299" s="484"/>
      <c r="L299" s="484"/>
      <c r="M299" s="484"/>
    </row>
    <row r="300" spans="1:13" x14ac:dyDescent="0.6">
      <c r="A300" s="484"/>
      <c r="B300" s="484"/>
      <c r="C300" s="484"/>
      <c r="D300" s="484"/>
      <c r="E300" s="484"/>
      <c r="F300" s="484"/>
      <c r="G300" s="484"/>
      <c r="H300" s="484"/>
      <c r="I300" s="484"/>
      <c r="J300" s="484"/>
      <c r="K300" s="484"/>
      <c r="L300" s="484"/>
      <c r="M300" s="484"/>
    </row>
    <row r="301" spans="1:13" x14ac:dyDescent="0.6">
      <c r="A301" s="484"/>
      <c r="B301" s="484"/>
      <c r="C301" s="484"/>
      <c r="D301" s="484"/>
      <c r="E301" s="484"/>
      <c r="F301" s="484"/>
      <c r="G301" s="484"/>
      <c r="H301" s="484"/>
      <c r="I301" s="484"/>
      <c r="J301" s="484"/>
      <c r="K301" s="484"/>
      <c r="L301" s="484"/>
      <c r="M301" s="484"/>
    </row>
    <row r="302" spans="1:13" x14ac:dyDescent="0.6">
      <c r="A302" s="484"/>
      <c r="B302" s="484"/>
      <c r="C302" s="484"/>
      <c r="D302" s="484"/>
      <c r="E302" s="484"/>
      <c r="F302" s="484"/>
      <c r="G302" s="484"/>
      <c r="H302" s="484"/>
      <c r="I302" s="484"/>
      <c r="J302" s="484"/>
      <c r="K302" s="484"/>
      <c r="L302" s="484"/>
      <c r="M302" s="484"/>
    </row>
  </sheetData>
  <sheetProtection password="DC56" sheet="1" objects="1" scenarios="1" formatCells="0" formatColumns="0" formatRows="0" insertColumns="0" insertRows="0" insertHyperlinks="0" deleteRows="0"/>
  <mergeCells count="321">
    <mergeCell ref="H80:I81"/>
    <mergeCell ref="H49:I49"/>
    <mergeCell ref="H50:I50"/>
    <mergeCell ref="H51:I51"/>
    <mergeCell ref="H52:I52"/>
    <mergeCell ref="H53:I53"/>
    <mergeCell ref="H39:I39"/>
    <mergeCell ref="H41:I41"/>
    <mergeCell ref="A77:L77"/>
    <mergeCell ref="A78:C79"/>
    <mergeCell ref="D78:D79"/>
    <mergeCell ref="E78:G79"/>
    <mergeCell ref="H78:I79"/>
    <mergeCell ref="J78:J79"/>
    <mergeCell ref="K78:K79"/>
    <mergeCell ref="A74:C75"/>
    <mergeCell ref="D74:D75"/>
    <mergeCell ref="E74:G75"/>
    <mergeCell ref="H74:I75"/>
    <mergeCell ref="J74:J75"/>
    <mergeCell ref="A76:K76"/>
    <mergeCell ref="L74:L75"/>
    <mergeCell ref="K74:K75"/>
    <mergeCell ref="A70:K70"/>
    <mergeCell ref="E140:H140"/>
    <mergeCell ref="I140:J140"/>
    <mergeCell ref="A161:C161"/>
    <mergeCell ref="I166:J166"/>
    <mergeCell ref="I169:K169"/>
    <mergeCell ref="I172:K172"/>
    <mergeCell ref="A137:D137"/>
    <mergeCell ref="E137:H137"/>
    <mergeCell ref="I137:J137"/>
    <mergeCell ref="E138:H138"/>
    <mergeCell ref="I138:J138"/>
    <mergeCell ref="E139:H139"/>
    <mergeCell ref="I139:J139"/>
    <mergeCell ref="I131:J131"/>
    <mergeCell ref="E132:H132"/>
    <mergeCell ref="I132:J132"/>
    <mergeCell ref="E133:H133"/>
    <mergeCell ref="I133:J133"/>
    <mergeCell ref="E134:H134"/>
    <mergeCell ref="I134:J134"/>
    <mergeCell ref="A126:E126"/>
    <mergeCell ref="F126:G126"/>
    <mergeCell ref="A127:E127"/>
    <mergeCell ref="F127:G127"/>
    <mergeCell ref="A128:G128"/>
    <mergeCell ref="A131:D131"/>
    <mergeCell ref="E131:H131"/>
    <mergeCell ref="A123:E123"/>
    <mergeCell ref="F123:G123"/>
    <mergeCell ref="A124:E124"/>
    <mergeCell ref="F124:G124"/>
    <mergeCell ref="A125:E125"/>
    <mergeCell ref="F125:G125"/>
    <mergeCell ref="A118:I118"/>
    <mergeCell ref="J118:L118"/>
    <mergeCell ref="A119:I119"/>
    <mergeCell ref="J119:L119"/>
    <mergeCell ref="A122:E122"/>
    <mergeCell ref="F122:G122"/>
    <mergeCell ref="A116:E116"/>
    <mergeCell ref="F116:G116"/>
    <mergeCell ref="H116:I116"/>
    <mergeCell ref="J116:L116"/>
    <mergeCell ref="A117:E117"/>
    <mergeCell ref="F117:G117"/>
    <mergeCell ref="H117:I117"/>
    <mergeCell ref="J117:L117"/>
    <mergeCell ref="A114:E114"/>
    <mergeCell ref="F114:G114"/>
    <mergeCell ref="H114:I114"/>
    <mergeCell ref="J114:L114"/>
    <mergeCell ref="A115:E115"/>
    <mergeCell ref="F115:G115"/>
    <mergeCell ref="H115:I115"/>
    <mergeCell ref="J115:L115"/>
    <mergeCell ref="A111:C111"/>
    <mergeCell ref="D111:E111"/>
    <mergeCell ref="F111:G111"/>
    <mergeCell ref="K111:L111"/>
    <mergeCell ref="A113:E113"/>
    <mergeCell ref="F113:G113"/>
    <mergeCell ref="H113:I113"/>
    <mergeCell ref="J113:L113"/>
    <mergeCell ref="A109:C109"/>
    <mergeCell ref="D109:E109"/>
    <mergeCell ref="F109:G109"/>
    <mergeCell ref="K109:L109"/>
    <mergeCell ref="A110:C110"/>
    <mergeCell ref="D110:E110"/>
    <mergeCell ref="F110:G110"/>
    <mergeCell ref="K110:L110"/>
    <mergeCell ref="D107:E107"/>
    <mergeCell ref="F107:G107"/>
    <mergeCell ref="K107:L107"/>
    <mergeCell ref="A108:C108"/>
    <mergeCell ref="D108:E108"/>
    <mergeCell ref="F108:G108"/>
    <mergeCell ref="K108:L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0:C100"/>
    <mergeCell ref="D100:E100"/>
    <mergeCell ref="F100:G100"/>
    <mergeCell ref="A101:C101"/>
    <mergeCell ref="A102:C102"/>
    <mergeCell ref="D102:E102"/>
    <mergeCell ref="F102:G102"/>
    <mergeCell ref="A98:C98"/>
    <mergeCell ref="D98:E98"/>
    <mergeCell ref="F98:G98"/>
    <mergeCell ref="A99:C99"/>
    <mergeCell ref="D99:E99"/>
    <mergeCell ref="F99:G99"/>
    <mergeCell ref="A95:C95"/>
    <mergeCell ref="A96:C96"/>
    <mergeCell ref="D96:E96"/>
    <mergeCell ref="F96:G96"/>
    <mergeCell ref="K96:L96"/>
    <mergeCell ref="A97:C97"/>
    <mergeCell ref="D97:E97"/>
    <mergeCell ref="F97:G97"/>
    <mergeCell ref="A89:K89"/>
    <mergeCell ref="A90:K90"/>
    <mergeCell ref="A93:C94"/>
    <mergeCell ref="D93:J93"/>
    <mergeCell ref="K93:L94"/>
    <mergeCell ref="D94:E94"/>
    <mergeCell ref="F94:G94"/>
    <mergeCell ref="K84:K85"/>
    <mergeCell ref="B86:C86"/>
    <mergeCell ref="E86:G86"/>
    <mergeCell ref="B87:C87"/>
    <mergeCell ref="E87:G87"/>
    <mergeCell ref="B88:C88"/>
    <mergeCell ref="E88:G88"/>
    <mergeCell ref="H88:I88"/>
    <mergeCell ref="A81:C81"/>
    <mergeCell ref="E81:G81"/>
    <mergeCell ref="A82:K82"/>
    <mergeCell ref="A83:L83"/>
    <mergeCell ref="A84:C85"/>
    <mergeCell ref="D84:D85"/>
    <mergeCell ref="E84:G85"/>
    <mergeCell ref="H84:I85"/>
    <mergeCell ref="J84:J85"/>
    <mergeCell ref="D80:D81"/>
    <mergeCell ref="E80:G80"/>
    <mergeCell ref="J80:J81"/>
    <mergeCell ref="K80:K81"/>
    <mergeCell ref="L80:L81"/>
    <mergeCell ref="H87:I87"/>
    <mergeCell ref="H86:I86"/>
    <mergeCell ref="A71:L71"/>
    <mergeCell ref="A72:C73"/>
    <mergeCell ref="D72:D73"/>
    <mergeCell ref="E72:G73"/>
    <mergeCell ref="H72:I73"/>
    <mergeCell ref="J72:J73"/>
    <mergeCell ref="K72:K73"/>
    <mergeCell ref="B68:C68"/>
    <mergeCell ref="E68:G68"/>
    <mergeCell ref="H68:I68"/>
    <mergeCell ref="B69:C69"/>
    <mergeCell ref="E69:G69"/>
    <mergeCell ref="H69:I69"/>
    <mergeCell ref="B65:C65"/>
    <mergeCell ref="E65:G65"/>
    <mergeCell ref="H65:I65"/>
    <mergeCell ref="B67:C67"/>
    <mergeCell ref="E67:G67"/>
    <mergeCell ref="H67:I67"/>
    <mergeCell ref="A60:K60"/>
    <mergeCell ref="A62:C63"/>
    <mergeCell ref="D62:D63"/>
    <mergeCell ref="E62:G63"/>
    <mergeCell ref="H62:I63"/>
    <mergeCell ref="J62:J63"/>
    <mergeCell ref="K62:K63"/>
    <mergeCell ref="K56:K57"/>
    <mergeCell ref="L56:L57"/>
    <mergeCell ref="B57:C57"/>
    <mergeCell ref="E57:G57"/>
    <mergeCell ref="H57:I57"/>
    <mergeCell ref="A58:C58"/>
    <mergeCell ref="A56:A57"/>
    <mergeCell ref="B56:C56"/>
    <mergeCell ref="D56:D57"/>
    <mergeCell ref="E56:G56"/>
    <mergeCell ref="H56:I56"/>
    <mergeCell ref="J56:J57"/>
    <mergeCell ref="E52:G52"/>
    <mergeCell ref="E53:G53"/>
    <mergeCell ref="E54:G54"/>
    <mergeCell ref="H54:I54"/>
    <mergeCell ref="N54:U54"/>
    <mergeCell ref="B55:C55"/>
    <mergeCell ref="E55:G55"/>
    <mergeCell ref="H55:I55"/>
    <mergeCell ref="B48:C48"/>
    <mergeCell ref="E48:G48"/>
    <mergeCell ref="H48:I48"/>
    <mergeCell ref="E49:G49"/>
    <mergeCell ref="E50:G50"/>
    <mergeCell ref="E51:G51"/>
    <mergeCell ref="E46:G46"/>
    <mergeCell ref="H46:I46"/>
    <mergeCell ref="B47:C47"/>
    <mergeCell ref="E47:G47"/>
    <mergeCell ref="H47:I47"/>
    <mergeCell ref="B43:C43"/>
    <mergeCell ref="E43:G43"/>
    <mergeCell ref="H43:I43"/>
    <mergeCell ref="A44:C45"/>
    <mergeCell ref="D44:D45"/>
    <mergeCell ref="E44:G45"/>
    <mergeCell ref="H44:I45"/>
    <mergeCell ref="B42:C42"/>
    <mergeCell ref="E42:G42"/>
    <mergeCell ref="H42:I42"/>
    <mergeCell ref="J38:J39"/>
    <mergeCell ref="K38:K39"/>
    <mergeCell ref="L38:L39"/>
    <mergeCell ref="B39:C39"/>
    <mergeCell ref="E39:G39"/>
    <mergeCell ref="J44:J45"/>
    <mergeCell ref="K44:K45"/>
    <mergeCell ref="A40:A41"/>
    <mergeCell ref="B40:C40"/>
    <mergeCell ref="D40:D41"/>
    <mergeCell ref="E40:G40"/>
    <mergeCell ref="H40:I40"/>
    <mergeCell ref="J36:J37"/>
    <mergeCell ref="K36:K37"/>
    <mergeCell ref="L36:L37"/>
    <mergeCell ref="B37:C37"/>
    <mergeCell ref="E37:G37"/>
    <mergeCell ref="A38:A39"/>
    <mergeCell ref="B38:C38"/>
    <mergeCell ref="D38:D39"/>
    <mergeCell ref="E38:G38"/>
    <mergeCell ref="H38:I38"/>
    <mergeCell ref="J40:J41"/>
    <mergeCell ref="K40:K41"/>
    <mergeCell ref="L40:L41"/>
    <mergeCell ref="B41:C41"/>
    <mergeCell ref="E41:G41"/>
    <mergeCell ref="H37:I37"/>
    <mergeCell ref="E35:G35"/>
    <mergeCell ref="H35:I35"/>
    <mergeCell ref="A36:A37"/>
    <mergeCell ref="B36:C36"/>
    <mergeCell ref="D36:D37"/>
    <mergeCell ref="E36:G36"/>
    <mergeCell ref="H36:I36"/>
    <mergeCell ref="A31:K31"/>
    <mergeCell ref="B32:L32"/>
    <mergeCell ref="A33:C34"/>
    <mergeCell ref="D33:D34"/>
    <mergeCell ref="E33:G34"/>
    <mergeCell ref="H33:I34"/>
    <mergeCell ref="J33:J34"/>
    <mergeCell ref="K33:K34"/>
    <mergeCell ref="B29:C29"/>
    <mergeCell ref="E29:G29"/>
    <mergeCell ref="H29:I29"/>
    <mergeCell ref="B30:C30"/>
    <mergeCell ref="E30:G30"/>
    <mergeCell ref="H30:I30"/>
    <mergeCell ref="B27:C27"/>
    <mergeCell ref="E27:G27"/>
    <mergeCell ref="H27:I27"/>
    <mergeCell ref="B28:C28"/>
    <mergeCell ref="E28:G28"/>
    <mergeCell ref="H28:I28"/>
    <mergeCell ref="A25:C26"/>
    <mergeCell ref="D25:D26"/>
    <mergeCell ref="E25:G26"/>
    <mergeCell ref="H25:I26"/>
    <mergeCell ref="J25:J26"/>
    <mergeCell ref="K25:K26"/>
    <mergeCell ref="A22:K22"/>
    <mergeCell ref="A23:L23"/>
    <mergeCell ref="B24:L24"/>
    <mergeCell ref="N77:U77"/>
    <mergeCell ref="C12:E12"/>
    <mergeCell ref="C13:E13"/>
    <mergeCell ref="A16:C17"/>
    <mergeCell ref="D16:D17"/>
    <mergeCell ref="E16:G17"/>
    <mergeCell ref="H16:I17"/>
    <mergeCell ref="A5:L5"/>
    <mergeCell ref="A6:L6"/>
    <mergeCell ref="C9:E9"/>
    <mergeCell ref="C10:E10"/>
    <mergeCell ref="C11:E11"/>
    <mergeCell ref="B20:C20"/>
    <mergeCell ref="E20:G20"/>
    <mergeCell ref="H20:I20"/>
    <mergeCell ref="B21:C21"/>
    <mergeCell ref="E21:G21"/>
    <mergeCell ref="H21:I21"/>
    <mergeCell ref="J16:J17"/>
    <mergeCell ref="K16:K17"/>
    <mergeCell ref="A18:L18"/>
    <mergeCell ref="B19:C19"/>
    <mergeCell ref="E19:G19"/>
    <mergeCell ref="H19:I19"/>
  </mergeCells>
  <conditionalFormatting sqref="L59">
    <cfRule type="expression" dxfId="26" priority="4">
      <formula>($L$59&lt;&gt;"")</formula>
    </cfRule>
  </conditionalFormatting>
  <conditionalFormatting sqref="L58">
    <cfRule type="expression" dxfId="25" priority="1">
      <formula>($C$11="ไม่มี")</formula>
    </cfRule>
  </conditionalFormatting>
  <dataValidations count="1">
    <dataValidation type="list" allowBlank="1" showInputMessage="1" showErrorMessage="1" promptTitle="กรุณาเลือกรอบการประเมิน" sqref="A24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&amp;C&amp;9APS v.4.3 พนักงานมหาวิทยาลัย</oddFooter>
  </headerFooter>
  <rowBreaks count="9" manualBreakCount="9">
    <brk id="14" max="16383" man="1"/>
    <brk id="31" max="11" man="1"/>
    <brk id="43" max="11" man="1"/>
    <brk id="60" max="11" man="1"/>
    <brk id="76" max="11" man="1"/>
    <brk id="91" max="16383" man="1"/>
    <brk id="112" max="16383" man="1"/>
    <brk id="135" max="11" man="1"/>
    <brk id="159" max="16383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95</xdr:row>
                    <xdr:rowOff>47625</xdr:rowOff>
                  </from>
                  <to>
                    <xdr:col>6</xdr:col>
                    <xdr:colOff>409575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96</xdr:row>
                    <xdr:rowOff>47625</xdr:rowOff>
                  </from>
                  <to>
                    <xdr:col>6</xdr:col>
                    <xdr:colOff>409575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97</xdr:row>
                    <xdr:rowOff>47625</xdr:rowOff>
                  </from>
                  <to>
                    <xdr:col>6</xdr:col>
                    <xdr:colOff>409575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98</xdr:row>
                    <xdr:rowOff>47625</xdr:rowOff>
                  </from>
                  <to>
                    <xdr:col>6</xdr:col>
                    <xdr:colOff>409575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99</xdr:row>
                    <xdr:rowOff>47625</xdr:rowOff>
                  </from>
                  <to>
                    <xdr:col>6</xdr:col>
                    <xdr:colOff>409575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101</xdr:row>
                    <xdr:rowOff>47625</xdr:rowOff>
                  </from>
                  <to>
                    <xdr:col>6</xdr:col>
                    <xdr:colOff>409575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102</xdr:row>
                    <xdr:rowOff>47625</xdr:rowOff>
                  </from>
                  <to>
                    <xdr:col>6</xdr:col>
                    <xdr:colOff>409575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103</xdr:row>
                    <xdr:rowOff>47625</xdr:rowOff>
                  </from>
                  <to>
                    <xdr:col>6</xdr:col>
                    <xdr:colOff>409575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104</xdr:row>
                    <xdr:rowOff>47625</xdr:rowOff>
                  </from>
                  <to>
                    <xdr:col>6</xdr:col>
                    <xdr:colOff>409575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105</xdr:row>
                    <xdr:rowOff>47625</xdr:rowOff>
                  </from>
                  <to>
                    <xdr:col>6</xdr:col>
                    <xdr:colOff>409575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219075</xdr:colOff>
                    <xdr:row>95</xdr:row>
                    <xdr:rowOff>47625</xdr:rowOff>
                  </from>
                  <to>
                    <xdr:col>7</xdr:col>
                    <xdr:colOff>914400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209550</xdr:colOff>
                    <xdr:row>96</xdr:row>
                    <xdr:rowOff>47625</xdr:rowOff>
                  </from>
                  <to>
                    <xdr:col>7</xdr:col>
                    <xdr:colOff>904875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209550</xdr:colOff>
                    <xdr:row>97</xdr:row>
                    <xdr:rowOff>47625</xdr:rowOff>
                  </from>
                  <to>
                    <xdr:col>7</xdr:col>
                    <xdr:colOff>904875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209550</xdr:colOff>
                    <xdr:row>98</xdr:row>
                    <xdr:rowOff>47625</xdr:rowOff>
                  </from>
                  <to>
                    <xdr:col>7</xdr:col>
                    <xdr:colOff>904875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209550</xdr:colOff>
                    <xdr:row>99</xdr:row>
                    <xdr:rowOff>47625</xdr:rowOff>
                  </from>
                  <to>
                    <xdr:col>7</xdr:col>
                    <xdr:colOff>904875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219075</xdr:colOff>
                    <xdr:row>101</xdr:row>
                    <xdr:rowOff>47625</xdr:rowOff>
                  </from>
                  <to>
                    <xdr:col>7</xdr:col>
                    <xdr:colOff>914400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219075</xdr:colOff>
                    <xdr:row>102</xdr:row>
                    <xdr:rowOff>47625</xdr:rowOff>
                  </from>
                  <to>
                    <xdr:col>7</xdr:col>
                    <xdr:colOff>914400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219075</xdr:colOff>
                    <xdr:row>103</xdr:row>
                    <xdr:rowOff>47625</xdr:rowOff>
                  </from>
                  <to>
                    <xdr:col>7</xdr:col>
                    <xdr:colOff>914400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228600</xdr:colOff>
                    <xdr:row>104</xdr:row>
                    <xdr:rowOff>47625</xdr:rowOff>
                  </from>
                  <to>
                    <xdr:col>7</xdr:col>
                    <xdr:colOff>923925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228600</xdr:colOff>
                    <xdr:row>105</xdr:row>
                    <xdr:rowOff>47625</xdr:rowOff>
                  </from>
                  <to>
                    <xdr:col>7</xdr:col>
                    <xdr:colOff>923925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107</xdr:row>
                    <xdr:rowOff>47625</xdr:rowOff>
                  </from>
                  <to>
                    <xdr:col>6</xdr:col>
                    <xdr:colOff>409575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108</xdr:row>
                    <xdr:rowOff>47625</xdr:rowOff>
                  </from>
                  <to>
                    <xdr:col>6</xdr:col>
                    <xdr:colOff>409575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109</xdr:row>
                    <xdr:rowOff>47625</xdr:rowOff>
                  </from>
                  <to>
                    <xdr:col>6</xdr:col>
                    <xdr:colOff>409575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110</xdr:row>
                    <xdr:rowOff>47625</xdr:rowOff>
                  </from>
                  <to>
                    <xdr:col>6</xdr:col>
                    <xdr:colOff>409575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228600</xdr:colOff>
                    <xdr:row>107</xdr:row>
                    <xdr:rowOff>47625</xdr:rowOff>
                  </from>
                  <to>
                    <xdr:col>7</xdr:col>
                    <xdr:colOff>923925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228600</xdr:colOff>
                    <xdr:row>108</xdr:row>
                    <xdr:rowOff>47625</xdr:rowOff>
                  </from>
                  <to>
                    <xdr:col>7</xdr:col>
                    <xdr:colOff>923925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228600</xdr:colOff>
                    <xdr:row>109</xdr:row>
                    <xdr:rowOff>47625</xdr:rowOff>
                  </from>
                  <to>
                    <xdr:col>7</xdr:col>
                    <xdr:colOff>923925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228600</xdr:colOff>
                    <xdr:row>110</xdr:row>
                    <xdr:rowOff>47625</xdr:rowOff>
                  </from>
                  <to>
                    <xdr:col>7</xdr:col>
                    <xdr:colOff>923925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38100</xdr:rowOff>
                  </from>
                  <to>
                    <xdr:col>6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19050</xdr:rowOff>
                  </from>
                  <to>
                    <xdr:col>6</xdr:col>
                    <xdr:colOff>485775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19050</xdr:rowOff>
                  </from>
                  <to>
                    <xdr:col>6</xdr:col>
                    <xdr:colOff>485775</xdr:colOff>
                    <xdr:row>139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142</xdr:row>
                    <xdr:rowOff>38100</xdr:rowOff>
                  </from>
                  <to>
                    <xdr:col>3</xdr:col>
                    <xdr:colOff>28575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143</xdr:row>
                    <xdr:rowOff>38100</xdr:rowOff>
                  </from>
                  <to>
                    <xdr:col>3</xdr:col>
                    <xdr:colOff>28575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144</xdr:row>
                    <xdr:rowOff>19050</xdr:rowOff>
                  </from>
                  <to>
                    <xdr:col>3</xdr:col>
                    <xdr:colOff>28575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145</xdr:row>
                    <xdr:rowOff>19050</xdr:rowOff>
                  </from>
                  <to>
                    <xdr:col>3</xdr:col>
                    <xdr:colOff>28575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146</xdr:row>
                    <xdr:rowOff>19050</xdr:rowOff>
                  </from>
                  <to>
                    <xdr:col>3</xdr:col>
                    <xdr:colOff>28575</xdr:colOff>
                    <xdr:row>146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88F5439D-AF7D-4F6F-BB7A-B8219FD0B4E5}">
            <xm:f>('แบบข้อตกลง TOR (ป.วช.-01)'!$C$13:$G$13="ไม่มี")</xm:f>
            <x14:dxf>
              <font>
                <color rgb="FF006600"/>
              </font>
              <fill>
                <patternFill>
                  <bgColor rgb="FFCADBA5"/>
                </patternFill>
              </fill>
            </x14:dxf>
          </x14:cfRule>
          <xm:sqref>L58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FF00"/>
  </sheetPr>
  <dimension ref="A1:P143"/>
  <sheetViews>
    <sheetView showGridLines="0" topLeftCell="A103" workbookViewId="0">
      <selection activeCell="N148" sqref="N148"/>
    </sheetView>
  </sheetViews>
  <sheetFormatPr defaultColWidth="9" defaultRowHeight="12.75" x14ac:dyDescent="0.2"/>
  <cols>
    <col min="1" max="1" width="1.375" style="548" customWidth="1"/>
    <col min="2" max="2" width="4" style="548" customWidth="1"/>
    <col min="3" max="4" width="11.875" style="548" customWidth="1"/>
    <col min="5" max="5" width="10.375" style="548" bestFit="1" customWidth="1"/>
    <col min="6" max="6" width="10.75" style="548" customWidth="1"/>
    <col min="7" max="7" width="11.875" style="548" customWidth="1"/>
    <col min="8" max="9" width="11.25" style="548" customWidth="1"/>
    <col min="10" max="10" width="9.75" style="548" customWidth="1"/>
    <col min="11" max="11" width="11.375" style="546" customWidth="1"/>
    <col min="12" max="12" width="10.25" style="546" customWidth="1"/>
    <col min="13" max="13" width="9.875" style="546" customWidth="1"/>
    <col min="14" max="14" width="9" style="546"/>
    <col min="15" max="15" width="9" style="546" hidden="1" customWidth="1"/>
    <col min="16" max="16" width="0" style="546" hidden="1" customWidth="1"/>
    <col min="17" max="16384" width="9" style="546"/>
  </cols>
  <sheetData>
    <row r="1" spans="2:12" ht="15.75" x14ac:dyDescent="0.25">
      <c r="B1" s="2818" t="s">
        <v>1244</v>
      </c>
      <c r="C1" s="2818"/>
      <c r="D1" s="2818"/>
      <c r="E1" s="2818"/>
      <c r="F1" s="2818"/>
      <c r="G1" s="2818"/>
      <c r="H1" s="2818"/>
      <c r="I1" s="2818"/>
      <c r="J1" s="2818"/>
      <c r="K1" s="2818"/>
      <c r="L1" s="2818"/>
    </row>
    <row r="2" spans="2:12" ht="15.75" x14ac:dyDescent="0.25">
      <c r="B2" s="2818" t="s">
        <v>1102</v>
      </c>
      <c r="C2" s="2818"/>
      <c r="D2" s="2818"/>
      <c r="E2" s="2818"/>
      <c r="F2" s="2818"/>
      <c r="G2" s="2818"/>
      <c r="H2" s="2818"/>
      <c r="I2" s="2818"/>
      <c r="J2" s="2818"/>
      <c r="K2" s="2818"/>
      <c r="L2" s="2818"/>
    </row>
    <row r="3" spans="2:12" x14ac:dyDescent="0.2">
      <c r="B3" s="547"/>
      <c r="C3" s="547"/>
      <c r="D3" s="547"/>
      <c r="G3" s="549"/>
    </row>
    <row r="4" spans="2:12" hidden="1" x14ac:dyDescent="0.2">
      <c r="B4" s="550" t="s">
        <v>502</v>
      </c>
      <c r="C4" s="547"/>
      <c r="D4" s="547"/>
      <c r="G4" s="549"/>
    </row>
    <row r="5" spans="2:12" hidden="1" x14ac:dyDescent="0.2">
      <c r="B5" s="547"/>
      <c r="C5" s="551" t="s">
        <v>503</v>
      </c>
      <c r="D5" s="551"/>
      <c r="G5" s="549"/>
    </row>
    <row r="6" spans="2:12" hidden="1" x14ac:dyDescent="0.2">
      <c r="B6" s="547"/>
      <c r="C6" s="551" t="s">
        <v>504</v>
      </c>
      <c r="D6" s="551"/>
      <c r="G6" s="549"/>
    </row>
    <row r="7" spans="2:12" x14ac:dyDescent="0.2">
      <c r="B7" s="547"/>
      <c r="C7" s="547"/>
      <c r="D7" s="547"/>
      <c r="G7" s="549"/>
    </row>
    <row r="8" spans="2:12" ht="19.5" customHeight="1" x14ac:dyDescent="0.2">
      <c r="B8" s="2801" t="s">
        <v>505</v>
      </c>
      <c r="C8" s="2802"/>
      <c r="D8" s="2802"/>
      <c r="E8" s="2802"/>
      <c r="F8" s="2802"/>
      <c r="G8" s="2802"/>
      <c r="H8" s="2802"/>
      <c r="I8" s="2803"/>
    </row>
    <row r="9" spans="2:12" x14ac:dyDescent="0.2">
      <c r="B9" s="552"/>
      <c r="C9" s="553"/>
      <c r="D9" s="553"/>
      <c r="E9" s="554"/>
      <c r="F9" s="554"/>
      <c r="G9" s="555"/>
      <c r="H9" s="556"/>
      <c r="I9" s="557"/>
    </row>
    <row r="10" spans="2:12" ht="19.5" customHeight="1" x14ac:dyDescent="0.2">
      <c r="B10" s="558"/>
      <c r="C10" s="559" t="s">
        <v>506</v>
      </c>
      <c r="D10" s="2804" t="str">
        <f>IF('แบบข้อตกลง TOR (ป.วช.-01)'!C9="","",'แบบข้อตกลง TOR (ป.วช.-01)'!C9)</f>
        <v>อ.ดร. จุฑามาศ อาจนาเสียว</v>
      </c>
      <c r="E10" s="2804"/>
      <c r="F10" s="2804"/>
      <c r="G10" s="2804"/>
      <c r="H10" s="2804"/>
      <c r="I10" s="560"/>
      <c r="J10" s="561"/>
    </row>
    <row r="11" spans="2:12" ht="19.5" customHeight="1" x14ac:dyDescent="0.2">
      <c r="B11" s="558"/>
      <c r="C11" s="559" t="s">
        <v>507</v>
      </c>
      <c r="D11" s="2800" t="str">
        <f>IF('แบบข้อตกลง TOR (ป.วช.-01)'!C11="","",'แบบข้อตกลง TOR (ป.วช.-01)'!C11)</f>
        <v>อาจารย์</v>
      </c>
      <c r="E11" s="2800"/>
      <c r="F11" s="2800"/>
      <c r="G11" s="2800"/>
      <c r="H11" s="2800"/>
      <c r="I11" s="560"/>
      <c r="J11" s="561"/>
    </row>
    <row r="12" spans="2:12" ht="19.5" customHeight="1" x14ac:dyDescent="0.2">
      <c r="B12" s="558"/>
      <c r="C12" s="559" t="s">
        <v>508</v>
      </c>
      <c r="D12" s="2800" t="str">
        <f>IF('แบบข้อตกลง TOR (ป.วช.-01)'!J11="","",'แบบข้อตกลง TOR (ป.วช.-01)'!J11)</f>
        <v>คณะผลิตกรรมการเกษตร</v>
      </c>
      <c r="E12" s="2800"/>
      <c r="F12" s="2800"/>
      <c r="G12" s="2800"/>
      <c r="H12" s="2800"/>
      <c r="I12" s="560"/>
      <c r="J12" s="561"/>
    </row>
    <row r="13" spans="2:12" ht="19.5" customHeight="1" x14ac:dyDescent="0.2">
      <c r="B13" s="558"/>
      <c r="C13" s="559" t="s">
        <v>617</v>
      </c>
      <c r="D13" s="1912" t="str">
        <f>IF('แบบข้อตกลง TOR (ป.วช.-01)'!J13="","",'แบบข้อตกลง TOR (ป.วช.-01)'!J13)</f>
        <v>วิทยาศาสตรมหาบัณฑิต สาขาวิชาพืชไร่</v>
      </c>
      <c r="E13" s="1912"/>
      <c r="F13" s="1912"/>
      <c r="G13" s="1912"/>
      <c r="H13" s="1912"/>
      <c r="I13" s="560"/>
      <c r="J13" s="561"/>
    </row>
    <row r="14" spans="2:12" ht="19.5" customHeight="1" x14ac:dyDescent="0.2">
      <c r="B14" s="558"/>
      <c r="C14" s="559" t="s">
        <v>509</v>
      </c>
      <c r="D14" s="2800" t="str">
        <f>'แบบข้อตกลง TOR (ป.วช.-01)'!C13</f>
        <v>กรรมการหลักสูตร</v>
      </c>
      <c r="E14" s="2800"/>
      <c r="F14" s="2800"/>
      <c r="G14" s="2800"/>
      <c r="H14" s="2800"/>
      <c r="I14" s="560"/>
      <c r="J14" s="561"/>
    </row>
    <row r="15" spans="2:12" x14ac:dyDescent="0.2">
      <c r="B15" s="562"/>
      <c r="C15" s="563"/>
      <c r="D15" s="563"/>
      <c r="E15" s="564"/>
      <c r="F15" s="564"/>
      <c r="G15" s="565"/>
      <c r="H15" s="566"/>
      <c r="I15" s="567"/>
    </row>
    <row r="16" spans="2:12" x14ac:dyDescent="0.2">
      <c r="B16" s="568"/>
      <c r="C16" s="569"/>
      <c r="D16" s="569"/>
      <c r="E16" s="570"/>
      <c r="F16" s="570"/>
      <c r="G16" s="549"/>
    </row>
    <row r="17" spans="2:13" x14ac:dyDescent="0.2">
      <c r="B17" s="568"/>
      <c r="C17" s="569"/>
      <c r="D17" s="569"/>
      <c r="E17" s="570"/>
      <c r="F17" s="570"/>
      <c r="G17" s="549"/>
    </row>
    <row r="18" spans="2:13" ht="15" x14ac:dyDescent="0.25">
      <c r="B18" s="2829" t="s">
        <v>1099</v>
      </c>
      <c r="C18" s="2829"/>
      <c r="D18" s="2829"/>
      <c r="E18" s="2829"/>
      <c r="F18" s="2829"/>
      <c r="G18" s="2829"/>
      <c r="H18" s="2829"/>
    </row>
    <row r="19" spans="2:13" ht="15" customHeight="1" x14ac:dyDescent="0.2">
      <c r="B19" s="2791" t="s">
        <v>14</v>
      </c>
      <c r="C19" s="2792"/>
      <c r="D19" s="2793"/>
      <c r="E19" s="2811" t="s">
        <v>1171</v>
      </c>
      <c r="F19" s="2812"/>
      <c r="G19" s="2812"/>
      <c r="H19" s="2812"/>
      <c r="I19" s="2812"/>
      <c r="J19" s="2813"/>
      <c r="K19" s="2769" t="s">
        <v>378</v>
      </c>
      <c r="L19" s="2769"/>
      <c r="M19" s="2769"/>
    </row>
    <row r="20" spans="2:13" ht="14.25" customHeight="1" x14ac:dyDescent="0.2">
      <c r="B20" s="2794"/>
      <c r="C20" s="2795"/>
      <c r="D20" s="2796"/>
      <c r="E20" s="2040" t="s">
        <v>67</v>
      </c>
      <c r="F20" s="2776" t="s">
        <v>1255</v>
      </c>
      <c r="G20" s="2808" t="s">
        <v>1246</v>
      </c>
      <c r="H20" s="2808" t="s">
        <v>1256</v>
      </c>
      <c r="I20" s="2776" t="s">
        <v>1251</v>
      </c>
      <c r="J20" s="2808" t="s">
        <v>1253</v>
      </c>
      <c r="K20" s="2808" t="s">
        <v>1255</v>
      </c>
      <c r="L20" s="2776" t="s">
        <v>1257</v>
      </c>
      <c r="M20" s="2770" t="s">
        <v>1258</v>
      </c>
    </row>
    <row r="21" spans="2:13" ht="15" customHeight="1" x14ac:dyDescent="0.2">
      <c r="B21" s="2794"/>
      <c r="C21" s="2795"/>
      <c r="D21" s="2796"/>
      <c r="E21" s="2041" t="s">
        <v>1097</v>
      </c>
      <c r="F21" s="2777"/>
      <c r="G21" s="2809"/>
      <c r="H21" s="2809"/>
      <c r="I21" s="2814"/>
      <c r="J21" s="2816"/>
      <c r="K21" s="2809"/>
      <c r="L21" s="2777"/>
      <c r="M21" s="2771"/>
    </row>
    <row r="22" spans="2:13" x14ac:dyDescent="0.2">
      <c r="B22" s="2794"/>
      <c r="C22" s="2795"/>
      <c r="D22" s="2796"/>
      <c r="E22" s="2041" t="s">
        <v>118</v>
      </c>
      <c r="F22" s="2777"/>
      <c r="G22" s="2809"/>
      <c r="H22" s="2809"/>
      <c r="I22" s="2814"/>
      <c r="J22" s="2816"/>
      <c r="K22" s="2809"/>
      <c r="L22" s="2777"/>
      <c r="M22" s="2771"/>
    </row>
    <row r="23" spans="2:13" ht="20.25" customHeight="1" x14ac:dyDescent="0.2">
      <c r="B23" s="2794"/>
      <c r="C23" s="2795"/>
      <c r="D23" s="2796"/>
      <c r="E23" s="2120" t="s">
        <v>1098</v>
      </c>
      <c r="F23" s="2778"/>
      <c r="G23" s="2810"/>
      <c r="H23" s="2810"/>
      <c r="I23" s="2815"/>
      <c r="J23" s="2817"/>
      <c r="K23" s="2810"/>
      <c r="L23" s="2778"/>
      <c r="M23" s="2771"/>
    </row>
    <row r="24" spans="2:13" ht="20.25" customHeight="1" x14ac:dyDescent="0.2">
      <c r="B24" s="2797"/>
      <c r="C24" s="2798"/>
      <c r="D24" s="2799"/>
      <c r="E24" s="2110" t="s">
        <v>511</v>
      </c>
      <c r="F24" s="2110" t="s">
        <v>1247</v>
      </c>
      <c r="G24" s="2110"/>
      <c r="H24" s="2110" t="s">
        <v>1248</v>
      </c>
      <c r="I24" s="2110" t="s">
        <v>1250</v>
      </c>
      <c r="J24" s="2110" t="s">
        <v>1252</v>
      </c>
      <c r="K24" s="2110" t="s">
        <v>1249</v>
      </c>
      <c r="L24" s="2110" t="s">
        <v>47</v>
      </c>
      <c r="M24" s="2110" t="s">
        <v>1254</v>
      </c>
    </row>
    <row r="25" spans="2:13" ht="19.5" customHeight="1" x14ac:dyDescent="0.2">
      <c r="B25" s="1512" t="s">
        <v>900</v>
      </c>
      <c r="C25" s="1510"/>
      <c r="D25" s="1511"/>
      <c r="E25" s="2104">
        <f>IF(AND('แบบข้อตกลง TOR (ป.วช.-01)'!AD9 &lt;&gt; 0,'แบบข้อตกลง TOR (ป.วช.-01)'!AD9 &lt;&gt; ""),'แบบข้อตกลง TOR (ป.วช.-01)'!AD9,"")</f>
        <v>7.5</v>
      </c>
      <c r="F25" s="1750">
        <f>IF(AND('แบบข้อตกลง TOR (ป.วช.-01)'!AD9 &lt;&gt; 0,'แบบข้อตกลง TOR (ป.วช.-01)'!AD9 &lt;&gt; ""),'แบบข้อตกลง TOR (ป.วช.-01)'!AD9,"")</f>
        <v>7.5</v>
      </c>
      <c r="G25" s="571">
        <f>IF(F25&lt;&gt;"",('แบบประเมิน(ป.วช-02)'!L22*F25)/'แบบข้อตกลง TOR (ป.วช.-01)'!AC9,"")</f>
        <v>7.5</v>
      </c>
      <c r="H25" s="2105">
        <f>IF(F25&lt;&gt;"",('แบบประเมิน(ป.วช-02)'!L22*F25)/'แบบข้อตกลง TOR (ป.วช.-01)'!AC9,"")</f>
        <v>7.5</v>
      </c>
      <c r="I25" s="573" t="str">
        <f>IF(H25&lt;&gt;"",IF(H25&lt;F25,"Unsatisfied","Satisfied"),"")</f>
        <v>Satisfied</v>
      </c>
      <c r="J25" s="573" t="str">
        <f t="shared" ref="J25:J30" si="0">IF(H25&lt;&gt;"",IF(H25&lt;E25,"Unsatisfied","Satisfied"),"")</f>
        <v>Satisfied</v>
      </c>
      <c r="K25" s="583"/>
      <c r="L25" s="583"/>
      <c r="M25" s="583"/>
    </row>
    <row r="26" spans="2:13" ht="19.5" customHeight="1" x14ac:dyDescent="0.2">
      <c r="B26" s="2824" t="s">
        <v>901</v>
      </c>
      <c r="C26" s="2825"/>
      <c r="D26" s="2826"/>
      <c r="E26" s="2104">
        <f>IF(AND('แบบข้อตกลง TOR (ป.วช.-01)'!AD11 &lt;&gt; 0,'แบบข้อตกลง TOR (ป.วช.-01)'!AD11 &lt;&gt; ""),'แบบข้อตกลง TOR (ป.วช.-01)'!AD11,"")</f>
        <v>27.5</v>
      </c>
      <c r="F26" s="1751">
        <f>'แบบข้อตกลง TOR (ป.วช.-01)'!I43</f>
        <v>27.5</v>
      </c>
      <c r="G26" s="572">
        <f>SUM(G27:G30)</f>
        <v>121.14333333333332</v>
      </c>
      <c r="H26" s="2106">
        <f>SUM(H27:H30)</f>
        <v>79.404999999999987</v>
      </c>
      <c r="I26" s="573" t="str">
        <f>IF(AND(F26=0,H26=0),"",IF(H26&lt;&gt;"",IF(H26&lt;F26,"Unsatisfied","Satisfied"),""))</f>
        <v>Satisfied</v>
      </c>
      <c r="J26" s="573" t="str">
        <f>IF(H26&lt;&gt;"",IF(H26&lt;E26,"Unsatisfied","Satisfied"),"")</f>
        <v>Satisfied</v>
      </c>
      <c r="K26" s="2113">
        <f>IF('แบบข้อตกลง TOR (ป.วช.-01)'!I74&lt;&gt;"",'แบบข้อตกลง TOR (ป.วช.-01)'!I74,'แบบข้อตกลง TOR (ป.วช.-01)'!I73)</f>
        <v>20</v>
      </c>
      <c r="L26" s="2116">
        <f>IF(SUM(L27:L29)&gt;=K26,K26,SUM(L27:L29))</f>
        <v>20</v>
      </c>
      <c r="M26" s="573" t="str">
        <f>IF(AND(K26=0,L26=0),"",IF(L26&lt;&gt;"",IF(L26&lt;K26,"Unsatisfied","Satisfied"),""))</f>
        <v>Satisfied</v>
      </c>
    </row>
    <row r="27" spans="2:13" ht="19.5" customHeight="1" x14ac:dyDescent="0.2">
      <c r="B27" s="575">
        <v>2.1</v>
      </c>
      <c r="C27" s="2827" t="s">
        <v>151</v>
      </c>
      <c r="D27" s="2828"/>
      <c r="E27" s="1755">
        <v>15</v>
      </c>
      <c r="F27" s="1752">
        <f>'แบบข้อตกลง TOR (ป.วช.-01)'!I39</f>
        <v>12.5</v>
      </c>
      <c r="G27" s="576">
        <f>L60</f>
        <v>77.365555555555545</v>
      </c>
      <c r="H27" s="2107">
        <f>G27/2</f>
        <v>38.682777777777773</v>
      </c>
      <c r="I27" s="1513" t="str">
        <f>IF(AND(F27=0,H27=0),"",IF(H27&lt;&gt;"",IF(H27&lt;F27,"Unsatisfied","Satisfied"),""))</f>
        <v>Satisfied</v>
      </c>
      <c r="J27" s="577" t="str">
        <f t="shared" si="0"/>
        <v>Satisfied</v>
      </c>
      <c r="K27" s="2114">
        <f>'แบบข้อตกลง TOR (ป.วช.-01)'!I47</f>
        <v>7</v>
      </c>
      <c r="L27" s="2117">
        <f>L73</f>
        <v>7</v>
      </c>
      <c r="M27" s="1513" t="str">
        <f>IF(AND(K27=0,L27=0),"",IF(L27&lt;&gt;"",IF(L27&lt;K27,"Unsatisfied","Satisfied"),""))</f>
        <v>Satisfied</v>
      </c>
    </row>
    <row r="28" spans="2:13" ht="19.5" customHeight="1" x14ac:dyDescent="0.2">
      <c r="B28" s="578">
        <v>2.2000000000000002</v>
      </c>
      <c r="C28" s="2830" t="s">
        <v>155</v>
      </c>
      <c r="D28" s="2831"/>
      <c r="E28" s="1756">
        <v>6</v>
      </c>
      <c r="F28" s="1753">
        <f>'แบบข้อตกลง TOR (ป.วช.-01)'!I40</f>
        <v>12</v>
      </c>
      <c r="G28" s="579">
        <f>L81</f>
        <v>37.666666666666664</v>
      </c>
      <c r="H28" s="2108">
        <f>G28</f>
        <v>37.666666666666664</v>
      </c>
      <c r="I28" s="1514" t="str">
        <f t="shared" ref="I28:I29" si="1">IF(AND(F28=0,H28=0),"",IF(H28&lt;&gt;"",IF(H28&lt;F28,"Unsatisfied","Satisfied"),""))</f>
        <v>Satisfied</v>
      </c>
      <c r="J28" s="580" t="str">
        <f t="shared" si="0"/>
        <v>Satisfied</v>
      </c>
      <c r="K28" s="2115">
        <f>'แบบข้อตกลง TOR (ป.วช.-01)'!I58</f>
        <v>10</v>
      </c>
      <c r="L28" s="2118">
        <f>L85</f>
        <v>10</v>
      </c>
      <c r="M28" s="1514" t="str">
        <f t="shared" ref="M28:M29" si="2">IF(AND(K28=0,L28=0),"",IF(L28&lt;&gt;"",IF(L28&lt;K28,"Unsatisfied","Satisfied"),""))</f>
        <v>Satisfied</v>
      </c>
    </row>
    <row r="29" spans="2:13" ht="19.5" customHeight="1" x14ac:dyDescent="0.2">
      <c r="B29" s="578">
        <v>2.2999999999999998</v>
      </c>
      <c r="C29" s="2830" t="s">
        <v>203</v>
      </c>
      <c r="D29" s="2831"/>
      <c r="E29" s="1756">
        <v>3</v>
      </c>
      <c r="F29" s="1753">
        <f>'แบบข้อตกลง TOR (ป.วช.-01)'!I41</f>
        <v>2</v>
      </c>
      <c r="G29" s="579">
        <f>L120</f>
        <v>4.1111111111111107</v>
      </c>
      <c r="H29" s="2108">
        <f>G29/2</f>
        <v>2.0555555555555554</v>
      </c>
      <c r="I29" s="1514" t="str">
        <f t="shared" si="1"/>
        <v>Satisfied</v>
      </c>
      <c r="J29" s="580" t="str">
        <f t="shared" si="0"/>
        <v>Unsatisfied</v>
      </c>
      <c r="K29" s="2115">
        <f>'แบบข้อตกลง TOR (ป.วช.-01)'!I69</f>
        <v>5</v>
      </c>
      <c r="L29" s="2118">
        <f>L125</f>
        <v>5</v>
      </c>
      <c r="M29" s="1514" t="str">
        <f t="shared" si="2"/>
        <v>Satisfied</v>
      </c>
    </row>
    <row r="30" spans="2:13" ht="19.5" customHeight="1" x14ac:dyDescent="0.2">
      <c r="B30" s="581">
        <v>2.4</v>
      </c>
      <c r="C30" s="2832" t="s">
        <v>512</v>
      </c>
      <c r="D30" s="2833"/>
      <c r="E30" s="1757">
        <v>1</v>
      </c>
      <c r="F30" s="1754">
        <f>'แบบข้อตกลง TOR (ป.วช.-01)'!I42</f>
        <v>1</v>
      </c>
      <c r="G30" s="582">
        <f>L134</f>
        <v>2</v>
      </c>
      <c r="H30" s="2109">
        <f>G30/2</f>
        <v>1</v>
      </c>
      <c r="I30" s="2112" t="str">
        <f>IF(AND(F30=0,H30=0),"",IF(H30&lt;&gt;"",IF(H30&lt;F30,"Unsatisfied","Satisfied"),""))</f>
        <v>Satisfied</v>
      </c>
      <c r="J30" s="1878" t="str">
        <f t="shared" si="0"/>
        <v>Satisfied</v>
      </c>
      <c r="K30" s="2119"/>
      <c r="L30" s="2119"/>
      <c r="M30" s="2119"/>
    </row>
    <row r="31" spans="2:13" ht="19.5" customHeight="1" x14ac:dyDescent="0.2">
      <c r="B31" s="2788" t="s">
        <v>1101</v>
      </c>
      <c r="C31" s="2789"/>
      <c r="D31" s="2789"/>
      <c r="E31" s="2790"/>
      <c r="F31" s="1759">
        <f>IF(F25&lt;&gt;"",F25+F26,F26)</f>
        <v>35</v>
      </c>
      <c r="G31" s="1760">
        <f>IF(G25&lt;&gt;"",G25+G26,G26)</f>
        <v>128.64333333333332</v>
      </c>
      <c r="H31" s="2106">
        <f>IF(H25&lt;&gt;"",H25+H26,H26)</f>
        <v>86.904999999999987</v>
      </c>
      <c r="I31" s="2111" t="str">
        <f>IF(AND(F31=0,H31=0),"",IF(H31&lt;&gt;"",IF(H31&lt;F31,"Unsatisfied","Satisfied"),""))</f>
        <v>Satisfied</v>
      </c>
      <c r="J31" s="573"/>
      <c r="K31" s="1883"/>
      <c r="L31" s="1883"/>
      <c r="M31" s="1882"/>
    </row>
    <row r="32" spans="2:13" x14ac:dyDescent="0.2">
      <c r="B32" s="1758" t="s">
        <v>1100</v>
      </c>
      <c r="C32" s="547"/>
      <c r="D32" s="547"/>
      <c r="G32" s="549"/>
      <c r="H32" s="584"/>
      <c r="I32" s="584"/>
    </row>
    <row r="33" spans="1:16" x14ac:dyDescent="0.2">
      <c r="B33" s="547"/>
      <c r="C33" s="547"/>
      <c r="D33" s="547"/>
      <c r="G33" s="549"/>
      <c r="H33" s="584"/>
      <c r="I33" s="584"/>
    </row>
    <row r="34" spans="1:16" x14ac:dyDescent="0.2">
      <c r="B34" s="547"/>
      <c r="C34" s="547"/>
      <c r="D34" s="547"/>
      <c r="G34" s="549"/>
      <c r="H34" s="584"/>
      <c r="I34" s="584"/>
    </row>
    <row r="35" spans="1:16" ht="15" x14ac:dyDescent="0.25">
      <c r="B35" s="585" t="s">
        <v>1103</v>
      </c>
      <c r="C35" s="547"/>
      <c r="D35" s="547"/>
      <c r="G35" s="549"/>
      <c r="H35" s="566"/>
      <c r="I35" s="584"/>
    </row>
    <row r="36" spans="1:16" ht="12.75" customHeight="1" x14ac:dyDescent="0.2">
      <c r="B36" s="2779" t="s">
        <v>459</v>
      </c>
      <c r="C36" s="2780"/>
      <c r="D36" s="2780"/>
      <c r="E36" s="2780"/>
      <c r="F36" s="2780"/>
      <c r="G36" s="2781"/>
      <c r="H36" s="586" t="s">
        <v>513</v>
      </c>
      <c r="I36" s="587" t="s">
        <v>513</v>
      </c>
      <c r="J36" s="588"/>
      <c r="K36" s="548"/>
    </row>
    <row r="37" spans="1:16" x14ac:dyDescent="0.2">
      <c r="B37" s="2782"/>
      <c r="C37" s="2783"/>
      <c r="D37" s="2783"/>
      <c r="E37" s="2783"/>
      <c r="F37" s="2783"/>
      <c r="G37" s="2784"/>
      <c r="H37" s="589" t="s">
        <v>401</v>
      </c>
      <c r="I37" s="590" t="s">
        <v>514</v>
      </c>
      <c r="J37" s="588"/>
      <c r="K37" s="548"/>
    </row>
    <row r="38" spans="1:16" x14ac:dyDescent="0.2">
      <c r="B38" s="2785"/>
      <c r="C38" s="2786"/>
      <c r="D38" s="2786"/>
      <c r="E38" s="2786"/>
      <c r="F38" s="2786"/>
      <c r="G38" s="2787"/>
      <c r="H38" s="591" t="s">
        <v>515</v>
      </c>
      <c r="I38" s="592"/>
      <c r="J38" s="588"/>
      <c r="K38" s="548"/>
    </row>
    <row r="39" spans="1:16" s="596" customFormat="1" ht="19.5" customHeight="1" x14ac:dyDescent="0.2">
      <c r="A39" s="561"/>
      <c r="B39" s="2805" t="str">
        <f>IF(P39&lt;&gt;0,P39,"")</f>
        <v/>
      </c>
      <c r="C39" s="2806"/>
      <c r="D39" s="2806"/>
      <c r="E39" s="2806"/>
      <c r="F39" s="2806"/>
      <c r="G39" s="2807"/>
      <c r="H39" s="593" t="str">
        <f>IF(P39&lt;&gt;0,IF(OR($D$11="อาจารย์",$D$11="ผู้เชี่ยวชาญ"),"",VLOOKUP($D$11,น้ำหนัก!A16:K18,3,FALSE)),"")</f>
        <v/>
      </c>
      <c r="I39" s="594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595">
        <f>IF(I39="",0,IF(I39&gt;=H39,1,0))</f>
        <v>0</v>
      </c>
      <c r="K39" s="561"/>
      <c r="P39" s="1940" t="str">
        <f>IF(OR($D$11="อาจารย์",$D$11="ผู้เชี่ยวชาญ"),"",VLOOKUP(D11,น้ำหนัก!A16:K18,2,FALSE))</f>
        <v/>
      </c>
    </row>
    <row r="40" spans="1:16" s="596" customFormat="1" ht="19.5" customHeight="1" x14ac:dyDescent="0.2">
      <c r="A40" s="561"/>
      <c r="B40" s="2805" t="str">
        <f t="shared" ref="B40:B43" si="3">IF(P40&lt;&gt;0,P40,"")</f>
        <v/>
      </c>
      <c r="C40" s="2806"/>
      <c r="D40" s="2806"/>
      <c r="E40" s="2806"/>
      <c r="F40" s="2806"/>
      <c r="G40" s="2807"/>
      <c r="H40" s="593" t="str">
        <f>IF(P40&lt;&gt;0,IF(OR($D$11="อาจารย์",$D$11="ผู้เชี่ยวชาญ"),"",VLOOKUP($D$11,น้ำหนัก!A16:K18,5,FALSE)),"")</f>
        <v/>
      </c>
      <c r="I40" s="594" t="str">
        <f>IF(D11="ผู้ช่วยศาสตราจารย์",'1. สอน'!P344,IF(D11="รองศาสตราจารย์",'1. สอน'!P344,IF(D11="ศาสตราจารย์",'1. สอน'!P344,"")))</f>
        <v/>
      </c>
      <c r="J40" s="595">
        <f>IF(I40="",0,IF(I40&gt;=H40,1,0))</f>
        <v>0</v>
      </c>
      <c r="K40" s="561"/>
      <c r="P40" s="1940" t="str">
        <f>IF(OR(D11="อาจารย์",D11="ผู้เชี่ยวชาญ"),"",VLOOKUP(D11,น้ำหนัก!A16:K18,4,FALSE))</f>
        <v/>
      </c>
    </row>
    <row r="41" spans="1:16" s="596" customFormat="1" ht="19.5" customHeight="1" x14ac:dyDescent="0.2">
      <c r="A41" s="561"/>
      <c r="B41" s="2805" t="str">
        <f t="shared" si="3"/>
        <v/>
      </c>
      <c r="C41" s="2806"/>
      <c r="D41" s="2806"/>
      <c r="E41" s="2806"/>
      <c r="F41" s="2806"/>
      <c r="G41" s="2807"/>
      <c r="H41" s="593" t="str">
        <f>IF(P41&lt;&gt;0,IF(OR($D$11="อาจารย์",$D$11="ผู้เชี่ยวชาญ"),"",VLOOKUP($D$11,น้ำหนัก!A16:K18,7,FALSE)),"")</f>
        <v/>
      </c>
      <c r="I41" s="594" t="str">
        <f>IF(D11="ผู้ช่วยศาสตราจารย์",'2. วิจัยและงานวิชาการอื่น'!W256,IF(D11="รองศาสตราจารย์",'2. วิจัยและงานวิชาการอื่น'!W256,IF(D11="ศาสตราจารย์",'2. วิจัยและงานวิชาการอื่น'!X256,"")))</f>
        <v/>
      </c>
      <c r="J41" s="595">
        <f t="shared" ref="J41:J43" si="4">IF(I41="",0,IF(I41&gt;=H41,1,0))</f>
        <v>0</v>
      </c>
      <c r="K41" s="561"/>
      <c r="P41" s="1940" t="str">
        <f>IF(OR(D11="อาจารย์",D11="ผู้เชี่ยวชาญ"),"",VLOOKUP(D11,น้ำหนัก!A16:K18,6,FALSE))</f>
        <v/>
      </c>
    </row>
    <row r="42" spans="1:16" s="596" customFormat="1" ht="19.5" customHeight="1" x14ac:dyDescent="0.2">
      <c r="A42" s="561"/>
      <c r="B42" s="2805" t="str">
        <f t="shared" si="3"/>
        <v/>
      </c>
      <c r="C42" s="2806"/>
      <c r="D42" s="2806"/>
      <c r="E42" s="2806"/>
      <c r="F42" s="2806"/>
      <c r="G42" s="2807"/>
      <c r="H42" s="593" t="str">
        <f>IF(P42&lt;&gt;0,IF(OR($D$11="อาจารย์",$D$11="ผู้เชี่ยวชาญ"),"",VLOOKUP($D$11,น้ำหนัก!A16:K18,9,FALSE)),"")</f>
        <v/>
      </c>
      <c r="I42" s="594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ภาระงานบริการวิชาการ'!L21,IF(D11="ศาสตราจารย์",'3 ภาระงานบริการวิชาการ'!L21,"")))</f>
        <v/>
      </c>
      <c r="J42" s="595">
        <f t="shared" si="4"/>
        <v>0</v>
      </c>
      <c r="K42" s="561"/>
      <c r="P42" s="1940" t="str">
        <f>IF(OR(D11="อาจารย์",D11="ผู้เชี่ยวชาญ"),"",VLOOKUP(D11,น้ำหนัก!A16:K18,8,FALSE))</f>
        <v/>
      </c>
    </row>
    <row r="43" spans="1:16" s="596" customFormat="1" ht="19.5" customHeight="1" x14ac:dyDescent="0.2">
      <c r="A43" s="561"/>
      <c r="B43" s="2805" t="str">
        <f t="shared" si="3"/>
        <v/>
      </c>
      <c r="C43" s="2806"/>
      <c r="D43" s="2806"/>
      <c r="E43" s="2806"/>
      <c r="F43" s="2806"/>
      <c r="G43" s="2807"/>
      <c r="H43" s="593" t="str">
        <f>IF(P43&lt;&gt;0,IF(OR($D$11="อาจารย์",$D$11="ผู้เชี่ยวชาญ"),"",VLOOKUP($D$11,น้ำหนัก!A16:K18,11,FALSE)),"")</f>
        <v/>
      </c>
      <c r="I43" s="594" t="str">
        <f>IF(D11="ผู้ช่วยศาสตราจารย์",'3 ภาระงานบริการวิชาการ'!L21,"")</f>
        <v/>
      </c>
      <c r="J43" s="595">
        <f t="shared" si="4"/>
        <v>0</v>
      </c>
      <c r="K43" s="561"/>
      <c r="N43" s="1744"/>
      <c r="P43" s="1940" t="str">
        <f>IF(OR(D11="อาจารย์",D11="ผู้เชี่ยวชาญ"),"",VLOOKUP(D11,น้ำหนัก!A16:K18,10,FALSE))</f>
        <v/>
      </c>
    </row>
    <row r="44" spans="1:16" s="596" customFormat="1" ht="19.5" customHeight="1" x14ac:dyDescent="0.2">
      <c r="A44" s="561"/>
      <c r="B44" s="1879" t="s">
        <v>462</v>
      </c>
      <c r="C44" s="1880"/>
      <c r="D44" s="1880"/>
      <c r="E44" s="1880"/>
      <c r="F44" s="1880"/>
      <c r="G44" s="1880"/>
      <c r="H44" s="1881"/>
      <c r="I44" s="574" t="str">
        <f>IF(OR(D11="อาจารย์",D11="ผู้เชี่ยวชาญ"),"",IF(J44&gt;0,"ผ่าน","ไม่ผ่าน"))</f>
        <v/>
      </c>
      <c r="J44" s="597">
        <f>SUM(J39:J43)</f>
        <v>0</v>
      </c>
      <c r="K44" s="561"/>
    </row>
    <row r="45" spans="1:16" s="596" customFormat="1" ht="19.5" customHeight="1" x14ac:dyDescent="0.2">
      <c r="A45" s="561"/>
      <c r="B45" s="2772" t="s">
        <v>1104</v>
      </c>
      <c r="C45" s="2772"/>
      <c r="D45" s="2772"/>
      <c r="E45" s="2772"/>
      <c r="F45" s="2772"/>
      <c r="G45" s="2772"/>
      <c r="H45" s="2772"/>
      <c r="I45" s="2772"/>
      <c r="J45" s="2772"/>
      <c r="K45" s="2772"/>
      <c r="L45" s="2772"/>
    </row>
    <row r="46" spans="1:16" x14ac:dyDescent="0.2">
      <c r="B46" s="547"/>
      <c r="C46" s="547"/>
      <c r="D46" s="547"/>
      <c r="G46" s="549"/>
    </row>
    <row r="47" spans="1:16" x14ac:dyDescent="0.2">
      <c r="B47" s="547"/>
      <c r="C47" s="547"/>
      <c r="D47" s="547"/>
      <c r="G47" s="549"/>
    </row>
    <row r="48" spans="1:16" ht="15" x14ac:dyDescent="0.25">
      <c r="B48" s="598" t="s">
        <v>516</v>
      </c>
      <c r="C48" s="547"/>
      <c r="D48" s="547"/>
      <c r="G48" s="549"/>
    </row>
    <row r="49" spans="2:13" ht="28.5" customHeight="1" x14ac:dyDescent="0.2">
      <c r="B49" s="2773" t="s">
        <v>517</v>
      </c>
      <c r="C49" s="2774"/>
      <c r="D49" s="2774"/>
      <c r="E49" s="2774"/>
      <c r="F49" s="2774"/>
      <c r="G49" s="2774"/>
      <c r="H49" s="2774"/>
      <c r="I49" s="2774"/>
      <c r="J49" s="2775"/>
      <c r="K49" s="599" t="s">
        <v>518</v>
      </c>
      <c r="L49" s="600" t="s">
        <v>519</v>
      </c>
      <c r="M49" s="548"/>
    </row>
    <row r="50" spans="2:13" ht="16.5" customHeight="1" x14ac:dyDescent="0.2">
      <c r="B50" s="601" t="s">
        <v>377</v>
      </c>
      <c r="C50" s="602"/>
      <c r="D50" s="602"/>
      <c r="E50" s="602"/>
      <c r="F50" s="602"/>
      <c r="G50" s="602"/>
      <c r="H50" s="602"/>
      <c r="I50" s="602"/>
      <c r="J50" s="602"/>
      <c r="K50" s="603"/>
      <c r="L50" s="604"/>
      <c r="M50" s="548"/>
    </row>
    <row r="51" spans="2:13" s="548" customFormat="1" x14ac:dyDescent="0.2">
      <c r="B51" s="605" t="s">
        <v>171</v>
      </c>
      <c r="C51" s="606" t="s">
        <v>520</v>
      </c>
      <c r="D51" s="606"/>
      <c r="E51" s="607"/>
      <c r="F51" s="607"/>
      <c r="G51" s="607"/>
      <c r="H51" s="607"/>
      <c r="I51" s="607"/>
      <c r="J51" s="608"/>
      <c r="K51" s="609">
        <f>'1. สอน'!J68+'1. สอน'!J104+'1. สอน'!J150+'1. สอน'!J186+'1. สอน'!J204+'1. สอน'!J220+'1. สอน'!J229+'1. สอน'!J238+'1. สอน'!J247+'1. สอน'!J273</f>
        <v>702.15</v>
      </c>
      <c r="L51" s="610">
        <f>'1. สอน'!K68+'1. สอน'!K104+'1. สอน'!K150+'1. สอน'!K186+'1. สอน'!K204+'1. สอน'!K220+'1. สอน'!K229+'1. สอน'!K238+'1. สอน'!K247+'1. สอน'!K263</f>
        <v>38.909999999999997</v>
      </c>
    </row>
    <row r="52" spans="2:13" s="548" customFormat="1" ht="12.75" customHeight="1" x14ac:dyDescent="0.2">
      <c r="B52" s="611" t="s">
        <v>177</v>
      </c>
      <c r="C52" s="2819" t="s">
        <v>521</v>
      </c>
      <c r="D52" s="2819"/>
      <c r="E52" s="2819"/>
      <c r="F52" s="2819"/>
      <c r="G52" s="2819"/>
      <c r="H52" s="1911"/>
      <c r="I52" s="1911"/>
      <c r="J52" s="1876"/>
      <c r="K52" s="612">
        <f>'1. สอน'!J273</f>
        <v>120</v>
      </c>
      <c r="L52" s="613">
        <f>'1. สอน'!K273</f>
        <v>8</v>
      </c>
    </row>
    <row r="53" spans="2:13" s="548" customFormat="1" x14ac:dyDescent="0.2">
      <c r="B53" s="605" t="s">
        <v>182</v>
      </c>
      <c r="C53" s="606" t="s">
        <v>522</v>
      </c>
      <c r="D53" s="606"/>
      <c r="E53" s="607"/>
      <c r="F53" s="607"/>
      <c r="G53" s="607"/>
      <c r="H53" s="607"/>
      <c r="I53" s="607"/>
      <c r="J53" s="608"/>
      <c r="K53" s="612">
        <f>'1. สอน'!J282</f>
        <v>0</v>
      </c>
      <c r="L53" s="613">
        <f>'1. สอน'!K282</f>
        <v>0</v>
      </c>
    </row>
    <row r="54" spans="2:13" s="548" customFormat="1" x14ac:dyDescent="0.2">
      <c r="B54" s="605" t="s">
        <v>186</v>
      </c>
      <c r="C54" s="606" t="s">
        <v>523</v>
      </c>
      <c r="D54" s="606"/>
      <c r="E54" s="607"/>
      <c r="F54" s="607"/>
      <c r="G54" s="607"/>
      <c r="H54" s="607"/>
      <c r="I54" s="607"/>
      <c r="J54" s="608"/>
      <c r="K54" s="612">
        <f>'1. สอน'!J292</f>
        <v>175</v>
      </c>
      <c r="L54" s="613">
        <f>'1. สอน'!K292</f>
        <v>11.666666666666666</v>
      </c>
    </row>
    <row r="55" spans="2:13" s="548" customFormat="1" x14ac:dyDescent="0.2">
      <c r="B55" s="605" t="s">
        <v>189</v>
      </c>
      <c r="C55" s="606" t="s">
        <v>524</v>
      </c>
      <c r="D55" s="606"/>
      <c r="E55" s="607"/>
      <c r="F55" s="607"/>
      <c r="G55" s="607"/>
      <c r="H55" s="607"/>
      <c r="I55" s="607"/>
      <c r="J55" s="608"/>
      <c r="K55" s="612">
        <f>'1. สอน'!J300</f>
        <v>0</v>
      </c>
      <c r="L55" s="613">
        <f>'1. สอน'!K300</f>
        <v>0</v>
      </c>
    </row>
    <row r="56" spans="2:13" s="548" customFormat="1" x14ac:dyDescent="0.2">
      <c r="B56" s="605" t="s">
        <v>525</v>
      </c>
      <c r="C56" s="606" t="s">
        <v>526</v>
      </c>
      <c r="D56" s="606"/>
      <c r="E56" s="607"/>
      <c r="F56" s="607"/>
      <c r="G56" s="607"/>
      <c r="H56" s="607"/>
      <c r="I56" s="607"/>
      <c r="J56" s="608"/>
      <c r="K56" s="612">
        <f>'1. สอน'!J309+'1. สอน'!J316+'1. สอน'!J323+'1. สอน'!J330</f>
        <v>112.5</v>
      </c>
      <c r="L56" s="613">
        <f>'1. สอน'!K309+'1. สอน'!K316+'1. สอน'!K323+'1. สอน'!K330</f>
        <v>7.5</v>
      </c>
    </row>
    <row r="57" spans="2:13" s="548" customFormat="1" x14ac:dyDescent="0.2">
      <c r="B57" s="605" t="s">
        <v>527</v>
      </c>
      <c r="C57" s="606" t="s">
        <v>528</v>
      </c>
      <c r="D57" s="606"/>
      <c r="E57" s="607"/>
      <c r="F57" s="607"/>
      <c r="G57" s="607"/>
      <c r="H57" s="607"/>
      <c r="I57" s="607"/>
      <c r="J57" s="608"/>
      <c r="K57" s="612">
        <f>'1. สอน'!J344+'1. สอน'!J356+'1. สอน'!J366+'1. สอน'!J380</f>
        <v>0</v>
      </c>
      <c r="L57" s="613">
        <f>'1. สอน'!K344+'1. สอน'!K356+'1. สอน'!K366+'1. สอน'!K380</f>
        <v>0</v>
      </c>
    </row>
    <row r="58" spans="2:13" s="548" customFormat="1" x14ac:dyDescent="0.2">
      <c r="B58" s="605" t="s">
        <v>529</v>
      </c>
      <c r="C58" s="606" t="s">
        <v>530</v>
      </c>
      <c r="D58" s="606"/>
      <c r="E58" s="607"/>
      <c r="F58" s="607"/>
      <c r="G58" s="607"/>
      <c r="H58" s="607"/>
      <c r="I58" s="607"/>
      <c r="J58" s="608"/>
      <c r="K58" s="612">
        <f>'1. สอน'!J390</f>
        <v>0</v>
      </c>
      <c r="L58" s="613">
        <f>'1. สอน'!K390</f>
        <v>0</v>
      </c>
    </row>
    <row r="59" spans="2:13" s="548" customFormat="1" x14ac:dyDescent="0.2">
      <c r="B59" s="605" t="s">
        <v>531</v>
      </c>
      <c r="C59" s="606" t="s">
        <v>532</v>
      </c>
      <c r="D59" s="606"/>
      <c r="E59" s="607"/>
      <c r="F59" s="607"/>
      <c r="G59" s="607"/>
      <c r="H59" s="607"/>
      <c r="I59" s="607"/>
      <c r="J59" s="608"/>
      <c r="K59" s="612">
        <f>'1. สอน'!J420</f>
        <v>169.33333333333334</v>
      </c>
      <c r="L59" s="613">
        <f>'1. สอน'!K420</f>
        <v>11.288888888888888</v>
      </c>
    </row>
    <row r="60" spans="2:13" s="548" customFormat="1" x14ac:dyDescent="0.2">
      <c r="B60" s="2845" t="s">
        <v>533</v>
      </c>
      <c r="C60" s="2846"/>
      <c r="D60" s="2846"/>
      <c r="E60" s="2846"/>
      <c r="F60" s="2846"/>
      <c r="G60" s="2846"/>
      <c r="H60" s="2846"/>
      <c r="I60" s="2846"/>
      <c r="J60" s="2847"/>
      <c r="K60" s="614">
        <f>SUM(K51:K59)</f>
        <v>1278.9833333333333</v>
      </c>
      <c r="L60" s="615">
        <f>SUM(L51:L59)</f>
        <v>77.365555555555545</v>
      </c>
    </row>
    <row r="61" spans="2:13" s="548" customFormat="1" ht="16.5" customHeight="1" x14ac:dyDescent="0.2">
      <c r="B61" s="601" t="s">
        <v>378</v>
      </c>
      <c r="C61" s="602"/>
      <c r="D61" s="602"/>
      <c r="E61" s="602"/>
      <c r="F61" s="602"/>
      <c r="G61" s="602"/>
      <c r="H61" s="602"/>
      <c r="I61" s="602"/>
      <c r="J61" s="616"/>
      <c r="K61" s="617" t="s">
        <v>534</v>
      </c>
      <c r="L61" s="618" t="s">
        <v>451</v>
      </c>
    </row>
    <row r="62" spans="2:13" s="548" customFormat="1" x14ac:dyDescent="0.2">
      <c r="B62" s="2820" t="s">
        <v>171</v>
      </c>
      <c r="C62" s="2835" t="s">
        <v>535</v>
      </c>
      <c r="D62" s="2835"/>
      <c r="E62" s="2835"/>
      <c r="F62" s="2835"/>
      <c r="G62" s="2835"/>
      <c r="H62" s="2835"/>
      <c r="I62" s="2835"/>
      <c r="J62" s="2854"/>
      <c r="K62" s="619" t="str">
        <f>IF('1. สอน'!N7=TRUE,"มี","ไม่มี")</f>
        <v>มี</v>
      </c>
      <c r="L62" s="2822">
        <f>'1. สอน'!K7</f>
        <v>1</v>
      </c>
    </row>
    <row r="63" spans="2:13" s="548" customFormat="1" x14ac:dyDescent="0.2">
      <c r="B63" s="2821"/>
      <c r="C63" s="2835" t="s">
        <v>175</v>
      </c>
      <c r="D63" s="2835"/>
      <c r="E63" s="2835"/>
      <c r="F63" s="2835"/>
      <c r="G63" s="2835"/>
      <c r="H63" s="2835"/>
      <c r="I63" s="2835"/>
      <c r="J63" s="2854"/>
      <c r="K63" s="619" t="str">
        <f>IF('1. สอน'!N8=TRUE,"มี","ไม่มี")</f>
        <v>มี</v>
      </c>
      <c r="L63" s="2823"/>
    </row>
    <row r="64" spans="2:13" s="548" customFormat="1" ht="26.25" customHeight="1" x14ac:dyDescent="0.2">
      <c r="B64" s="620" t="s">
        <v>177</v>
      </c>
      <c r="C64" s="2838" t="s">
        <v>536</v>
      </c>
      <c r="D64" s="2838"/>
      <c r="E64" s="2838"/>
      <c r="F64" s="2838"/>
      <c r="G64" s="2838"/>
      <c r="H64" s="2838"/>
      <c r="I64" s="2838"/>
      <c r="J64" s="2839"/>
      <c r="K64" s="619" t="str">
        <f>IF('1. สอน'!N9=TRUE,"มี","ไม่มี")</f>
        <v>มี</v>
      </c>
      <c r="L64" s="2822">
        <f>'1. สอน'!K9</f>
        <v>3</v>
      </c>
    </row>
    <row r="65" spans="1:13" s="548" customFormat="1" ht="15.75" customHeight="1" x14ac:dyDescent="0.2">
      <c r="B65" s="621"/>
      <c r="C65" s="2855" t="s">
        <v>180</v>
      </c>
      <c r="D65" s="2855"/>
      <c r="E65" s="2855"/>
      <c r="F65" s="2855"/>
      <c r="G65" s="2855"/>
      <c r="H65" s="2855"/>
      <c r="I65" s="2855"/>
      <c r="J65" s="2856"/>
      <c r="K65" s="619" t="str">
        <f>IF('1. สอน'!N10=TRUE,"มี","ไม่มี")</f>
        <v>มี</v>
      </c>
      <c r="L65" s="2823"/>
    </row>
    <row r="66" spans="1:13" s="548" customFormat="1" x14ac:dyDescent="0.2">
      <c r="B66" s="1923" t="s">
        <v>1219</v>
      </c>
      <c r="C66" s="2836" t="s">
        <v>1220</v>
      </c>
      <c r="D66" s="2836"/>
      <c r="E66" s="2836"/>
      <c r="F66" s="2836"/>
      <c r="G66" s="2836"/>
      <c r="H66" s="2836"/>
      <c r="I66" s="2836"/>
      <c r="J66" s="2837"/>
      <c r="K66" s="619" t="str">
        <f>IF('1. สอน'!N11=TRUE,"มี","ไม่มี")</f>
        <v>มี</v>
      </c>
      <c r="L66" s="2822">
        <f>'1. สอน'!K11</f>
        <v>0.5</v>
      </c>
    </row>
    <row r="67" spans="1:13" ht="27" customHeight="1" x14ac:dyDescent="0.2">
      <c r="B67" s="623"/>
      <c r="C67" s="2838" t="s">
        <v>183</v>
      </c>
      <c r="D67" s="2838"/>
      <c r="E67" s="2838"/>
      <c r="F67" s="2838"/>
      <c r="G67" s="2838"/>
      <c r="H67" s="2838"/>
      <c r="I67" s="2838"/>
      <c r="J67" s="2839"/>
      <c r="K67" s="619" t="str">
        <f>IF('1. สอน'!N12=TRUE,"มี","ไม่มี")</f>
        <v>มี</v>
      </c>
      <c r="L67" s="2823"/>
      <c r="M67" s="548"/>
    </row>
    <row r="68" spans="1:13" s="548" customFormat="1" x14ac:dyDescent="0.2">
      <c r="B68" s="1923" t="s">
        <v>1221</v>
      </c>
      <c r="C68" s="2836" t="s">
        <v>1222</v>
      </c>
      <c r="D68" s="2836"/>
      <c r="E68" s="2836"/>
      <c r="F68" s="2836"/>
      <c r="G68" s="2836"/>
      <c r="H68" s="2836"/>
      <c r="I68" s="2836"/>
      <c r="J68" s="2837"/>
      <c r="K68" s="619" t="str">
        <f>IF('1. สอน'!N13=TRUE,"มี","ไม่มี")</f>
        <v>มี</v>
      </c>
      <c r="L68" s="2822">
        <f>'1. สอน'!K13</f>
        <v>0.5</v>
      </c>
    </row>
    <row r="69" spans="1:13" ht="27" customHeight="1" x14ac:dyDescent="0.2">
      <c r="B69" s="623"/>
      <c r="C69" s="2838" t="s">
        <v>183</v>
      </c>
      <c r="D69" s="2838"/>
      <c r="E69" s="2838"/>
      <c r="F69" s="2838"/>
      <c r="G69" s="2838"/>
      <c r="H69" s="2838"/>
      <c r="I69" s="2838"/>
      <c r="J69" s="2839"/>
      <c r="K69" s="619" t="str">
        <f>IF('1. สอน'!N14=TRUE,"มี","ไม่มี")</f>
        <v>มี</v>
      </c>
      <c r="L69" s="2823"/>
      <c r="M69" s="548"/>
    </row>
    <row r="70" spans="1:13" x14ac:dyDescent="0.2">
      <c r="B70" s="624" t="s">
        <v>186</v>
      </c>
      <c r="C70" s="625" t="s">
        <v>414</v>
      </c>
      <c r="D70" s="607"/>
      <c r="E70" s="607"/>
      <c r="F70" s="607"/>
      <c r="G70" s="607"/>
      <c r="H70" s="607"/>
      <c r="I70" s="607"/>
      <c r="J70" s="608"/>
      <c r="K70" s="619" t="str">
        <f>'1. สอน'!J15</f>
        <v>ไม่มี</v>
      </c>
      <c r="L70" s="626">
        <f>'1. สอน'!K15</f>
        <v>0</v>
      </c>
      <c r="M70" s="548"/>
    </row>
    <row r="71" spans="1:13" ht="25.5" customHeight="1" x14ac:dyDescent="0.2">
      <c r="B71" s="1924" t="s">
        <v>1223</v>
      </c>
      <c r="C71" s="2840" t="s">
        <v>1225</v>
      </c>
      <c r="D71" s="2840"/>
      <c r="E71" s="2840"/>
      <c r="F71" s="2840"/>
      <c r="G71" s="2840"/>
      <c r="H71" s="2840"/>
      <c r="I71" s="2840"/>
      <c r="J71" s="2841"/>
      <c r="K71" s="627" t="str">
        <f>IF('1. สอน'!N16=TRUE,"มี","ไม่มี")</f>
        <v>มี</v>
      </c>
      <c r="L71" s="622">
        <f>'1. สอน'!K16</f>
        <v>1</v>
      </c>
      <c r="M71" s="548"/>
    </row>
    <row r="72" spans="1:13" ht="25.5" customHeight="1" x14ac:dyDescent="0.2">
      <c r="B72" s="1924" t="s">
        <v>1224</v>
      </c>
      <c r="C72" s="2852" t="s">
        <v>1226</v>
      </c>
      <c r="D72" s="2852"/>
      <c r="E72" s="2852"/>
      <c r="F72" s="2852"/>
      <c r="G72" s="2852"/>
      <c r="H72" s="2852"/>
      <c r="I72" s="2852"/>
      <c r="J72" s="2853"/>
      <c r="K72" s="627" t="str">
        <f>IF('1. สอน'!N17=TRUE,"มี","ไม่มี")</f>
        <v>มี</v>
      </c>
      <c r="L72" s="622">
        <f>'1. สอน'!K17</f>
        <v>1</v>
      </c>
      <c r="M72" s="548"/>
    </row>
    <row r="73" spans="1:13" x14ac:dyDescent="0.2">
      <c r="B73" s="2842" t="s">
        <v>537</v>
      </c>
      <c r="C73" s="2843"/>
      <c r="D73" s="2843"/>
      <c r="E73" s="2843"/>
      <c r="F73" s="2843"/>
      <c r="G73" s="2843"/>
      <c r="H73" s="2843"/>
      <c r="I73" s="2843"/>
      <c r="J73" s="2844"/>
      <c r="K73" s="628"/>
      <c r="L73" s="629">
        <f>SUM(L62:L72)</f>
        <v>7</v>
      </c>
      <c r="M73" s="548"/>
    </row>
    <row r="74" spans="1:13" s="634" customFormat="1" x14ac:dyDescent="0.2">
      <c r="A74" s="630"/>
      <c r="B74" s="631"/>
      <c r="C74" s="631"/>
      <c r="D74" s="631"/>
      <c r="E74" s="631"/>
      <c r="F74" s="631"/>
      <c r="G74" s="631"/>
      <c r="H74" s="631"/>
      <c r="I74" s="631"/>
      <c r="J74" s="631"/>
      <c r="K74" s="632"/>
      <c r="L74" s="633"/>
      <c r="M74" s="630"/>
    </row>
    <row r="75" spans="1:13" x14ac:dyDescent="0.2">
      <c r="K75" s="548"/>
      <c r="L75" s="548"/>
      <c r="M75" s="548"/>
    </row>
    <row r="76" spans="1:13" ht="15" x14ac:dyDescent="0.25">
      <c r="B76" s="598" t="s">
        <v>538</v>
      </c>
      <c r="C76" s="547"/>
      <c r="D76" s="547"/>
      <c r="G76" s="549"/>
      <c r="H76" s="549"/>
      <c r="I76" s="549"/>
      <c r="J76" s="549"/>
      <c r="K76" s="548"/>
      <c r="L76" s="548"/>
      <c r="M76" s="548"/>
    </row>
    <row r="77" spans="1:13" ht="25.5" customHeight="1" x14ac:dyDescent="0.2">
      <c r="B77" s="2773" t="s">
        <v>539</v>
      </c>
      <c r="C77" s="2774"/>
      <c r="D77" s="2774"/>
      <c r="E77" s="2774"/>
      <c r="F77" s="2774"/>
      <c r="G77" s="2774"/>
      <c r="H77" s="2774"/>
      <c r="I77" s="2774"/>
      <c r="J77" s="2775"/>
      <c r="K77" s="599" t="s">
        <v>518</v>
      </c>
      <c r="L77" s="600" t="s">
        <v>519</v>
      </c>
      <c r="M77" s="548"/>
    </row>
    <row r="78" spans="1:13" ht="16.5" customHeight="1" x14ac:dyDescent="0.2">
      <c r="B78" s="1886" t="s">
        <v>377</v>
      </c>
      <c r="C78" s="602"/>
      <c r="D78" s="602"/>
      <c r="E78" s="602"/>
      <c r="F78" s="602"/>
      <c r="G78" s="602"/>
      <c r="H78" s="602"/>
      <c r="I78" s="602"/>
      <c r="J78" s="602"/>
      <c r="K78" s="603"/>
      <c r="L78" s="604"/>
      <c r="M78" s="548"/>
    </row>
    <row r="79" spans="1:13" x14ac:dyDescent="0.2">
      <c r="B79" s="605" t="s">
        <v>171</v>
      </c>
      <c r="C79" s="606" t="s">
        <v>540</v>
      </c>
      <c r="D79" s="606"/>
      <c r="E79" s="607"/>
      <c r="F79" s="607"/>
      <c r="G79" s="607"/>
      <c r="H79" s="607"/>
      <c r="I79" s="607"/>
      <c r="J79" s="608"/>
      <c r="K79" s="609">
        <f>'2. วิจัยและงานวิชาการอื่น'!H81+'2. วิจัยและงานวิชาการอื่น'!H92</f>
        <v>475</v>
      </c>
      <c r="L79" s="610">
        <f>'2. วิจัยและงานวิชาการอื่น'!I81+'2. วิจัยและงานวิชาการอื่น'!I92</f>
        <v>31.666666666666664</v>
      </c>
      <c r="M79" s="548"/>
    </row>
    <row r="80" spans="1:13" x14ac:dyDescent="0.2">
      <c r="B80" s="611" t="s">
        <v>177</v>
      </c>
      <c r="C80" s="2834" t="s">
        <v>541</v>
      </c>
      <c r="D80" s="2834"/>
      <c r="E80" s="2834"/>
      <c r="F80" s="2834"/>
      <c r="G80" s="2834"/>
      <c r="H80" s="1908"/>
      <c r="I80" s="1908"/>
      <c r="J80" s="1875"/>
      <c r="K80" s="612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90</v>
      </c>
      <c r="L80" s="613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6</v>
      </c>
      <c r="M80" s="548"/>
    </row>
    <row r="81" spans="2:13" x14ac:dyDescent="0.2">
      <c r="B81" s="2845" t="s">
        <v>542</v>
      </c>
      <c r="C81" s="2846"/>
      <c r="D81" s="2846"/>
      <c r="E81" s="2846"/>
      <c r="F81" s="2846"/>
      <c r="G81" s="2846"/>
      <c r="H81" s="2846"/>
      <c r="I81" s="2846"/>
      <c r="J81" s="2847"/>
      <c r="K81" s="614">
        <f>SUM(K79:K80)</f>
        <v>565</v>
      </c>
      <c r="L81" s="615">
        <f>SUM(L79:L80)</f>
        <v>37.666666666666664</v>
      </c>
      <c r="M81" s="548"/>
    </row>
    <row r="82" spans="2:13" ht="16.5" customHeight="1" x14ac:dyDescent="0.2">
      <c r="B82" s="1887" t="s">
        <v>378</v>
      </c>
      <c r="C82" s="602"/>
      <c r="D82" s="602"/>
      <c r="E82" s="602"/>
      <c r="F82" s="602"/>
      <c r="G82" s="602"/>
      <c r="H82" s="1885"/>
      <c r="I82" s="1885"/>
      <c r="J82" s="1884"/>
      <c r="K82" s="617" t="s">
        <v>534</v>
      </c>
      <c r="L82" s="618" t="s">
        <v>451</v>
      </c>
      <c r="M82" s="548"/>
    </row>
    <row r="83" spans="2:13" x14ac:dyDescent="0.2">
      <c r="B83" s="635" t="s">
        <v>171</v>
      </c>
      <c r="C83" s="2835" t="s">
        <v>543</v>
      </c>
      <c r="D83" s="2835"/>
      <c r="E83" s="2835"/>
      <c r="F83" s="2835"/>
      <c r="G83" s="2835"/>
      <c r="H83" s="1905"/>
      <c r="I83" s="1905"/>
      <c r="J83" s="1906"/>
      <c r="K83" s="636" t="str">
        <f>'2. วิจัยและงานวิชาการอื่น'!H7</f>
        <v>มี</v>
      </c>
      <c r="L83" s="637">
        <f>'2. วิจัยและงานวิชาการอื่น'!I7</f>
        <v>5</v>
      </c>
      <c r="M83" s="548"/>
    </row>
    <row r="84" spans="2:13" x14ac:dyDescent="0.2">
      <c r="B84" s="624" t="s">
        <v>177</v>
      </c>
      <c r="C84" s="625" t="s">
        <v>415</v>
      </c>
      <c r="D84" s="607"/>
      <c r="E84" s="607"/>
      <c r="F84" s="607"/>
      <c r="G84" s="607"/>
      <c r="H84" s="607"/>
      <c r="I84" s="607"/>
      <c r="J84" s="608"/>
      <c r="K84" s="638" t="str">
        <f>'2. วิจัยและงานวิชาการอื่น'!H8</f>
        <v>มี</v>
      </c>
      <c r="L84" s="639">
        <f>'2. วิจัยและงานวิชาการอื่น'!I8</f>
        <v>5</v>
      </c>
      <c r="M84" s="640"/>
    </row>
    <row r="85" spans="2:13" x14ac:dyDescent="0.2">
      <c r="B85" s="2842" t="s">
        <v>544</v>
      </c>
      <c r="C85" s="2843"/>
      <c r="D85" s="2843"/>
      <c r="E85" s="2843"/>
      <c r="F85" s="2843"/>
      <c r="G85" s="2843"/>
      <c r="H85" s="2843"/>
      <c r="I85" s="2843"/>
      <c r="J85" s="2844"/>
      <c r="K85" s="628"/>
      <c r="L85" s="641">
        <f>L83+L84</f>
        <v>10</v>
      </c>
      <c r="M85" s="548"/>
    </row>
    <row r="86" spans="2:13" x14ac:dyDescent="0.2">
      <c r="K86" s="548"/>
      <c r="L86" s="548"/>
      <c r="M86" s="548"/>
    </row>
    <row r="87" spans="2:13" s="548" customFormat="1" ht="15" x14ac:dyDescent="0.25">
      <c r="B87" s="598" t="s">
        <v>545</v>
      </c>
      <c r="C87" s="547"/>
      <c r="D87" s="547"/>
      <c r="G87" s="549"/>
      <c r="H87" s="549"/>
      <c r="I87" s="549"/>
      <c r="J87" s="549"/>
    </row>
    <row r="88" spans="2:13" s="548" customFormat="1" ht="25.5" customHeight="1" x14ac:dyDescent="0.2">
      <c r="B88" s="2773" t="s">
        <v>546</v>
      </c>
      <c r="C88" s="2774"/>
      <c r="D88" s="2774"/>
      <c r="E88" s="2774"/>
      <c r="F88" s="2774"/>
      <c r="G88" s="2774"/>
      <c r="H88" s="2774"/>
      <c r="I88" s="2774"/>
      <c r="J88" s="2775"/>
      <c r="K88" s="599" t="s">
        <v>518</v>
      </c>
      <c r="L88" s="600" t="s">
        <v>519</v>
      </c>
    </row>
    <row r="89" spans="2:13" s="548" customFormat="1" ht="16.5" customHeight="1" x14ac:dyDescent="0.2">
      <c r="B89" s="1886" t="s">
        <v>377</v>
      </c>
      <c r="C89" s="602"/>
      <c r="D89" s="602"/>
      <c r="E89" s="602"/>
      <c r="F89" s="602"/>
      <c r="G89" s="602"/>
      <c r="H89" s="602"/>
      <c r="I89" s="602"/>
      <c r="J89" s="602"/>
      <c r="K89" s="603"/>
      <c r="L89" s="604"/>
    </row>
    <row r="90" spans="2:13" s="548" customFormat="1" x14ac:dyDescent="0.2">
      <c r="B90" s="605" t="s">
        <v>171</v>
      </c>
      <c r="C90" s="1745" t="s">
        <v>1095</v>
      </c>
      <c r="D90" s="602"/>
      <c r="E90" s="602"/>
      <c r="F90" s="602"/>
      <c r="G90" s="602"/>
      <c r="H90" s="602"/>
      <c r="I90" s="602"/>
      <c r="J90" s="602"/>
      <c r="K90" s="1746">
        <f>'3 ภาระงานบริการวิชาการ'!I21</f>
        <v>0</v>
      </c>
      <c r="L90" s="1746">
        <f>'3 ภาระงานบริการวิชาการ'!J21</f>
        <v>0</v>
      </c>
    </row>
    <row r="91" spans="2:13" s="548" customFormat="1" x14ac:dyDescent="0.2">
      <c r="B91" s="605" t="s">
        <v>177</v>
      </c>
      <c r="C91" s="606" t="s">
        <v>547</v>
      </c>
      <c r="D91" s="606"/>
      <c r="E91" s="607"/>
      <c r="F91" s="607"/>
      <c r="G91" s="607"/>
      <c r="H91" s="607"/>
      <c r="I91" s="607"/>
      <c r="J91" s="608"/>
      <c r="K91" s="609">
        <f>'3 ภาระงานบริการวิชาการ'!I42</f>
        <v>15</v>
      </c>
      <c r="L91" s="609">
        <f>'3 ภาระงานบริการวิชาการ'!J42</f>
        <v>1</v>
      </c>
    </row>
    <row r="92" spans="2:13" s="548" customFormat="1" x14ac:dyDescent="0.2">
      <c r="B92" s="605" t="s">
        <v>182</v>
      </c>
      <c r="C92" s="2834" t="s">
        <v>549</v>
      </c>
      <c r="D92" s="2834"/>
      <c r="E92" s="2834"/>
      <c r="F92" s="2834"/>
      <c r="G92" s="2834"/>
      <c r="H92" s="1908"/>
      <c r="I92" s="1908"/>
      <c r="J92" s="1875"/>
      <c r="K92" s="612">
        <f>'3 ภาระงานบริการวิชาการ'!I53</f>
        <v>0</v>
      </c>
      <c r="L92" s="612">
        <f>'3 ภาระงานบริการวิชาการ'!J53</f>
        <v>0</v>
      </c>
    </row>
    <row r="93" spans="2:13" s="548" customFormat="1" x14ac:dyDescent="0.2">
      <c r="B93" s="605" t="s">
        <v>186</v>
      </c>
      <c r="C93" s="642" t="s">
        <v>551</v>
      </c>
      <c r="D93" s="642"/>
      <c r="E93" s="642"/>
      <c r="F93" s="642"/>
      <c r="G93" s="642"/>
      <c r="H93" s="642"/>
      <c r="I93" s="642"/>
      <c r="J93" s="643"/>
      <c r="K93" s="612">
        <f>'3 ภาระงานบริการวิชาการ'!I69</f>
        <v>0</v>
      </c>
      <c r="L93" s="612">
        <f>'3 ภาระงานบริการวิชาการ'!J69</f>
        <v>0</v>
      </c>
    </row>
    <row r="94" spans="2:13" s="548" customFormat="1" x14ac:dyDescent="0.2">
      <c r="B94" s="605" t="s">
        <v>189</v>
      </c>
      <c r="C94" s="642" t="s">
        <v>553</v>
      </c>
      <c r="D94" s="1908"/>
      <c r="E94" s="1908"/>
      <c r="F94" s="1908"/>
      <c r="G94" s="1908"/>
      <c r="H94" s="1908"/>
      <c r="I94" s="1908"/>
      <c r="J94" s="1875"/>
      <c r="K94" s="612">
        <f>'3 ภาระงานบริการวิชาการ'!I80</f>
        <v>0</v>
      </c>
      <c r="L94" s="612">
        <f>'3 ภาระงานบริการวิชาการ'!J80</f>
        <v>0</v>
      </c>
    </row>
    <row r="95" spans="2:13" s="548" customFormat="1" x14ac:dyDescent="0.2">
      <c r="B95" s="605" t="s">
        <v>525</v>
      </c>
      <c r="C95" s="642" t="s">
        <v>554</v>
      </c>
      <c r="D95" s="1908"/>
      <c r="E95" s="1908"/>
      <c r="F95" s="1908"/>
      <c r="G95" s="1908"/>
      <c r="H95" s="1908"/>
      <c r="I95" s="1908"/>
      <c r="J95" s="1875"/>
      <c r="K95" s="612">
        <f>'3 ภาระงานบริการวิชาการ'!I91</f>
        <v>0</v>
      </c>
      <c r="L95" s="612">
        <f>'3 ภาระงานบริการวิชาการ'!J91</f>
        <v>0</v>
      </c>
    </row>
    <row r="96" spans="2:13" s="548" customFormat="1" x14ac:dyDescent="0.2">
      <c r="B96" s="605" t="s">
        <v>527</v>
      </c>
      <c r="C96" s="1908" t="s">
        <v>555</v>
      </c>
      <c r="D96" s="1908"/>
      <c r="E96" s="1908"/>
      <c r="F96" s="1908"/>
      <c r="G96" s="1908"/>
      <c r="H96" s="1908"/>
      <c r="I96" s="1908"/>
      <c r="J96" s="1875"/>
      <c r="K96" s="612">
        <f>'3 ภาระงานบริการวิชาการ'!I102</f>
        <v>0</v>
      </c>
      <c r="L96" s="612">
        <f>'3 ภาระงานบริการวิชาการ'!J102</f>
        <v>0</v>
      </c>
    </row>
    <row r="97" spans="2:12" s="548" customFormat="1" x14ac:dyDescent="0.2">
      <c r="B97" s="605" t="s">
        <v>529</v>
      </c>
      <c r="C97" s="642" t="s">
        <v>556</v>
      </c>
      <c r="D97" s="1908"/>
      <c r="E97" s="1908"/>
      <c r="F97" s="1908"/>
      <c r="G97" s="1908"/>
      <c r="H97" s="1908"/>
      <c r="I97" s="1908"/>
      <c r="J97" s="1875"/>
      <c r="K97" s="612">
        <f>'3 ภาระงานบริการวิชาการ'!I113</f>
        <v>0</v>
      </c>
      <c r="L97" s="612">
        <f>'3 ภาระงานบริการวิชาการ'!J113</f>
        <v>0</v>
      </c>
    </row>
    <row r="98" spans="2:12" s="548" customFormat="1" x14ac:dyDescent="0.2">
      <c r="B98" s="605" t="s">
        <v>531</v>
      </c>
      <c r="C98" s="642" t="s">
        <v>557</v>
      </c>
      <c r="D98" s="1908"/>
      <c r="E98" s="1908"/>
      <c r="F98" s="1908"/>
      <c r="G98" s="1908"/>
      <c r="H98" s="1908"/>
      <c r="I98" s="1908"/>
      <c r="J98" s="1875"/>
      <c r="K98" s="612">
        <f>'3 ภาระงานบริการวิชาการ'!I157</f>
        <v>8</v>
      </c>
      <c r="L98" s="612">
        <f>'3 ภาระงานบริการวิชาการ'!J157</f>
        <v>0.53333333333333333</v>
      </c>
    </row>
    <row r="99" spans="2:12" s="548" customFormat="1" x14ac:dyDescent="0.2">
      <c r="B99" s="605" t="s">
        <v>559</v>
      </c>
      <c r="C99" s="642" t="s">
        <v>558</v>
      </c>
      <c r="D99" s="1908"/>
      <c r="E99" s="1908"/>
      <c r="F99" s="1908"/>
      <c r="G99" s="1908"/>
      <c r="H99" s="1908"/>
      <c r="I99" s="1908"/>
      <c r="J99" s="1875"/>
      <c r="K99" s="612">
        <f>'3 ภาระงานบริการวิชาการ'!I168</f>
        <v>0</v>
      </c>
      <c r="L99" s="612">
        <f>'3 ภาระงานบริการวิชาการ'!J168</f>
        <v>0</v>
      </c>
    </row>
    <row r="100" spans="2:12" s="548" customFormat="1" x14ac:dyDescent="0.2">
      <c r="B100" s="605" t="s">
        <v>561</v>
      </c>
      <c r="C100" s="642" t="s">
        <v>560</v>
      </c>
      <c r="D100" s="1908"/>
      <c r="E100" s="1908"/>
      <c r="F100" s="1908"/>
      <c r="G100" s="1908"/>
      <c r="H100" s="1908"/>
      <c r="I100" s="1908"/>
      <c r="J100" s="1875"/>
      <c r="K100" s="612">
        <f>'3 ภาระงานบริการวิชาการ'!I179</f>
        <v>0</v>
      </c>
      <c r="L100" s="612">
        <f>'3 ภาระงานบริการวิชาการ'!J179</f>
        <v>0</v>
      </c>
    </row>
    <row r="101" spans="2:12" s="548" customFormat="1" x14ac:dyDescent="0.2">
      <c r="B101" s="605" t="s">
        <v>563</v>
      </c>
      <c r="C101" s="642" t="s">
        <v>562</v>
      </c>
      <c r="D101" s="642"/>
      <c r="E101" s="642"/>
      <c r="F101" s="642"/>
      <c r="G101" s="642"/>
      <c r="H101" s="642"/>
      <c r="I101" s="642"/>
      <c r="J101" s="643"/>
      <c r="K101" s="612">
        <f>'3 ภาระงานบริการวิชาการ'!I196</f>
        <v>0</v>
      </c>
      <c r="L101" s="612">
        <f>'3 ภาระงานบริการวิชาการ'!J196</f>
        <v>0</v>
      </c>
    </row>
    <row r="102" spans="2:12" s="548" customFormat="1" x14ac:dyDescent="0.2">
      <c r="B102" s="605" t="s">
        <v>565</v>
      </c>
      <c r="C102" s="642" t="s">
        <v>564</v>
      </c>
      <c r="D102" s="642"/>
      <c r="E102" s="642"/>
      <c r="F102" s="642"/>
      <c r="G102" s="642"/>
      <c r="H102" s="642"/>
      <c r="I102" s="642"/>
      <c r="J102" s="643"/>
      <c r="K102" s="612">
        <f>'3 ภาระงานบริการวิชาการ'!I207</f>
        <v>0</v>
      </c>
      <c r="L102" s="612">
        <f>'3 ภาระงานบริการวิชาการ'!J207</f>
        <v>0</v>
      </c>
    </row>
    <row r="103" spans="2:12" s="548" customFormat="1" x14ac:dyDescent="0.2">
      <c r="B103" s="605" t="s">
        <v>567</v>
      </c>
      <c r="C103" s="642" t="s">
        <v>566</v>
      </c>
      <c r="D103" s="642"/>
      <c r="E103" s="642"/>
      <c r="F103" s="642"/>
      <c r="G103" s="642"/>
      <c r="H103" s="642"/>
      <c r="I103" s="642"/>
      <c r="J103" s="643"/>
      <c r="K103" s="612">
        <f>'3 ภาระงานบริการวิชาการ'!I218</f>
        <v>0</v>
      </c>
      <c r="L103" s="612">
        <f>'3 ภาระงานบริการวิชาการ'!J218</f>
        <v>0</v>
      </c>
    </row>
    <row r="104" spans="2:12" s="548" customFormat="1" x14ac:dyDescent="0.2">
      <c r="B104" s="605" t="s">
        <v>569</v>
      </c>
      <c r="C104" s="642" t="s">
        <v>568</v>
      </c>
      <c r="D104" s="642"/>
      <c r="E104" s="642"/>
      <c r="F104" s="642"/>
      <c r="G104" s="642"/>
      <c r="H104" s="642"/>
      <c r="I104" s="642"/>
      <c r="J104" s="643"/>
      <c r="K104" s="612">
        <f>'3 ภาระงานบริการวิชาการ'!I229</f>
        <v>0</v>
      </c>
      <c r="L104" s="612">
        <f>'3 ภาระงานบริการวิชาการ'!J229</f>
        <v>0</v>
      </c>
    </row>
    <row r="105" spans="2:12" s="548" customFormat="1" x14ac:dyDescent="0.2">
      <c r="B105" s="605" t="s">
        <v>571</v>
      </c>
      <c r="C105" s="642" t="s">
        <v>570</v>
      </c>
      <c r="D105" s="642"/>
      <c r="E105" s="642"/>
      <c r="F105" s="642"/>
      <c r="G105" s="642"/>
      <c r="H105" s="642"/>
      <c r="I105" s="642"/>
      <c r="J105" s="643"/>
      <c r="K105" s="612">
        <f>'3 ภาระงานบริการวิชาการ'!I240</f>
        <v>0</v>
      </c>
      <c r="L105" s="612">
        <f>'3 ภาระงานบริการวิชาการ'!J240</f>
        <v>0</v>
      </c>
    </row>
    <row r="106" spans="2:12" s="548" customFormat="1" x14ac:dyDescent="0.2">
      <c r="B106" s="605" t="s">
        <v>573</v>
      </c>
      <c r="C106" s="642" t="s">
        <v>572</v>
      </c>
      <c r="D106" s="642"/>
      <c r="E106" s="642"/>
      <c r="F106" s="642"/>
      <c r="G106" s="642"/>
      <c r="H106" s="642"/>
      <c r="I106" s="642"/>
      <c r="J106" s="643"/>
      <c r="K106" s="612">
        <f>'3 ภาระงานบริการวิชาการ'!I257</f>
        <v>0</v>
      </c>
      <c r="L106" s="612">
        <f>'3 ภาระงานบริการวิชาการ'!J257</f>
        <v>0</v>
      </c>
    </row>
    <row r="107" spans="2:12" s="548" customFormat="1" x14ac:dyDescent="0.2">
      <c r="B107" s="605" t="s">
        <v>575</v>
      </c>
      <c r="C107" s="642" t="s">
        <v>574</v>
      </c>
      <c r="D107" s="642"/>
      <c r="E107" s="642"/>
      <c r="F107" s="642"/>
      <c r="G107" s="642"/>
      <c r="H107" s="642"/>
      <c r="I107" s="642"/>
      <c r="J107" s="643"/>
      <c r="K107" s="612">
        <f>'3 ภาระงานบริการวิชาการ'!I268</f>
        <v>0</v>
      </c>
      <c r="L107" s="612">
        <f>'3 ภาระงานบริการวิชาการ'!J268</f>
        <v>0</v>
      </c>
    </row>
    <row r="108" spans="2:12" s="548" customFormat="1" x14ac:dyDescent="0.2">
      <c r="B108" s="605" t="s">
        <v>577</v>
      </c>
      <c r="C108" s="642" t="s">
        <v>576</v>
      </c>
      <c r="D108" s="642"/>
      <c r="E108" s="642"/>
      <c r="F108" s="642"/>
      <c r="G108" s="642"/>
      <c r="H108" s="642"/>
      <c r="I108" s="642"/>
      <c r="J108" s="643"/>
      <c r="K108" s="612">
        <f>'3 ภาระงานบริการวิชาการ'!I302</f>
        <v>38.666666666666671</v>
      </c>
      <c r="L108" s="612">
        <f>'3 ภาระงานบริการวิชาการ'!J302</f>
        <v>2.5777777777777779</v>
      </c>
    </row>
    <row r="109" spans="2:12" s="548" customFormat="1" x14ac:dyDescent="0.2">
      <c r="B109" s="605" t="s">
        <v>579</v>
      </c>
      <c r="C109" s="642" t="s">
        <v>578</v>
      </c>
      <c r="D109" s="642"/>
      <c r="E109" s="642"/>
      <c r="F109" s="642"/>
      <c r="G109" s="642"/>
      <c r="H109" s="642"/>
      <c r="I109" s="642"/>
      <c r="J109" s="643"/>
      <c r="K109" s="612">
        <f>'3 ภาระงานบริการวิชาการ'!I336</f>
        <v>0</v>
      </c>
      <c r="L109" s="612">
        <f>'3 ภาระงานบริการวิชาการ'!J336</f>
        <v>0</v>
      </c>
    </row>
    <row r="110" spans="2:12" s="548" customFormat="1" x14ac:dyDescent="0.2">
      <c r="B110" s="605" t="s">
        <v>581</v>
      </c>
      <c r="C110" s="642" t="s">
        <v>580</v>
      </c>
      <c r="D110" s="642"/>
      <c r="E110" s="642"/>
      <c r="F110" s="642"/>
      <c r="G110" s="642"/>
      <c r="H110" s="642"/>
      <c r="I110" s="642"/>
      <c r="J110" s="643"/>
      <c r="K110" s="612">
        <f>'3 ภาระงานบริการวิชาการ'!I343</f>
        <v>0</v>
      </c>
      <c r="L110" s="612">
        <f>'3 ภาระงานบริการวิชาการ'!J343</f>
        <v>0</v>
      </c>
    </row>
    <row r="111" spans="2:12" s="548" customFormat="1" x14ac:dyDescent="0.2">
      <c r="B111" s="605" t="s">
        <v>583</v>
      </c>
      <c r="C111" s="642" t="s">
        <v>582</v>
      </c>
      <c r="D111" s="642"/>
      <c r="E111" s="642"/>
      <c r="F111" s="642"/>
      <c r="G111" s="642"/>
      <c r="H111" s="642"/>
      <c r="I111" s="642"/>
      <c r="J111" s="643"/>
      <c r="K111" s="612">
        <f>'3 ภาระงานบริการวิชาการ'!I354</f>
        <v>0</v>
      </c>
      <c r="L111" s="612">
        <f>'3 ภาระงานบริการวิชาการ'!J354</f>
        <v>0</v>
      </c>
    </row>
    <row r="112" spans="2:12" s="548" customFormat="1" x14ac:dyDescent="0.2">
      <c r="B112" s="605" t="s">
        <v>585</v>
      </c>
      <c r="C112" s="642" t="s">
        <v>584</v>
      </c>
      <c r="D112" s="642"/>
      <c r="E112" s="642"/>
      <c r="F112" s="642"/>
      <c r="G112" s="642"/>
      <c r="H112" s="642"/>
      <c r="I112" s="642"/>
      <c r="J112" s="643"/>
      <c r="K112" s="612">
        <f>'3 ภาระงานบริการวิชาการ'!I365</f>
        <v>0</v>
      </c>
      <c r="L112" s="612">
        <f>'3 ภาระงานบริการวิชาการ'!J365</f>
        <v>0</v>
      </c>
    </row>
    <row r="113" spans="2:13" s="548" customFormat="1" x14ac:dyDescent="0.2">
      <c r="B113" s="605" t="s">
        <v>587</v>
      </c>
      <c r="C113" s="642" t="s">
        <v>586</v>
      </c>
      <c r="D113" s="642"/>
      <c r="E113" s="642"/>
      <c r="F113" s="642"/>
      <c r="G113" s="642"/>
      <c r="H113" s="642"/>
      <c r="I113" s="642"/>
      <c r="J113" s="643"/>
      <c r="K113" s="612">
        <f>'3 ภาระงานบริการวิชาการ'!I376</f>
        <v>0</v>
      </c>
      <c r="L113" s="612">
        <f>'3 ภาระงานบริการวิชาการ'!J376</f>
        <v>0</v>
      </c>
    </row>
    <row r="114" spans="2:13" s="548" customFormat="1" x14ac:dyDescent="0.2">
      <c r="B114" s="605" t="s">
        <v>589</v>
      </c>
      <c r="C114" s="642" t="s">
        <v>588</v>
      </c>
      <c r="D114" s="642"/>
      <c r="E114" s="642"/>
      <c r="F114" s="642"/>
      <c r="G114" s="642"/>
      <c r="H114" s="642"/>
      <c r="I114" s="642"/>
      <c r="J114" s="643"/>
      <c r="K114" s="612">
        <f>'3 ภาระงานบริการวิชาการ'!I407</f>
        <v>0</v>
      </c>
      <c r="L114" s="612">
        <f>'3 ภาระงานบริการวิชาการ'!J407</f>
        <v>0</v>
      </c>
    </row>
    <row r="115" spans="2:13" s="548" customFormat="1" x14ac:dyDescent="0.2">
      <c r="B115" s="605" t="s">
        <v>591</v>
      </c>
      <c r="C115" s="642" t="s">
        <v>590</v>
      </c>
      <c r="D115" s="642"/>
      <c r="E115" s="642"/>
      <c r="F115" s="642"/>
      <c r="G115" s="642"/>
      <c r="H115" s="642"/>
      <c r="I115" s="642"/>
      <c r="J115" s="643"/>
      <c r="K115" s="612">
        <f>'3 ภาระงานบริการวิชาการ'!I417</f>
        <v>0</v>
      </c>
      <c r="L115" s="612">
        <f>'3 ภาระงานบริการวิชาการ'!J417</f>
        <v>0</v>
      </c>
    </row>
    <row r="116" spans="2:13" s="548" customFormat="1" x14ac:dyDescent="0.2">
      <c r="B116" s="605" t="s">
        <v>593</v>
      </c>
      <c r="C116" s="642" t="s">
        <v>592</v>
      </c>
      <c r="D116" s="642"/>
      <c r="E116" s="642"/>
      <c r="F116" s="642"/>
      <c r="G116" s="642"/>
      <c r="H116" s="642"/>
      <c r="I116" s="642"/>
      <c r="J116" s="643"/>
      <c r="K116" s="612">
        <f>'3 ภาระงานบริการวิชาการ'!I428</f>
        <v>0</v>
      </c>
      <c r="L116" s="612">
        <f>'3 ภาระงานบริการวิชาการ'!J428</f>
        <v>0</v>
      </c>
    </row>
    <row r="117" spans="2:13" s="548" customFormat="1" x14ac:dyDescent="0.2">
      <c r="B117" s="605" t="s">
        <v>595</v>
      </c>
      <c r="C117" s="642" t="s">
        <v>594</v>
      </c>
      <c r="D117" s="642"/>
      <c r="E117" s="642"/>
      <c r="F117" s="642"/>
      <c r="G117" s="642"/>
      <c r="H117" s="642"/>
      <c r="I117" s="642"/>
      <c r="J117" s="643"/>
      <c r="K117" s="612">
        <f>'3 ภาระงานบริการวิชาการ'!I439</f>
        <v>0</v>
      </c>
      <c r="L117" s="612">
        <f>'3 ภาระงานบริการวิชาการ'!J439</f>
        <v>0</v>
      </c>
    </row>
    <row r="118" spans="2:13" s="548" customFormat="1" x14ac:dyDescent="0.2">
      <c r="B118" s="605" t="s">
        <v>1096</v>
      </c>
      <c r="C118" s="642" t="s">
        <v>1228</v>
      </c>
      <c r="D118" s="642"/>
      <c r="E118" s="642"/>
      <c r="F118" s="642"/>
      <c r="G118" s="642"/>
      <c r="H118" s="642"/>
      <c r="I118" s="642"/>
      <c r="J118" s="643"/>
      <c r="K118" s="612">
        <f>'3 ภาระงานบริการวิชาการ'!I450</f>
        <v>0</v>
      </c>
      <c r="L118" s="612">
        <f>'3 ภาระงานบริการวิชาการ'!J450</f>
        <v>0</v>
      </c>
    </row>
    <row r="119" spans="2:13" s="548" customFormat="1" x14ac:dyDescent="0.2">
      <c r="B119" s="605" t="s">
        <v>1227</v>
      </c>
      <c r="C119" s="606" t="s">
        <v>596</v>
      </c>
      <c r="D119" s="606"/>
      <c r="E119" s="607"/>
      <c r="F119" s="607"/>
      <c r="G119" s="607"/>
      <c r="H119" s="607"/>
      <c r="I119" s="607"/>
      <c r="J119" s="608"/>
      <c r="K119" s="609">
        <f>'3 ภาระงานบริการวิชาการ'!I461</f>
        <v>0</v>
      </c>
      <c r="L119" s="609">
        <f>'3 ภาระงานบริการวิชาการ'!J461</f>
        <v>0</v>
      </c>
    </row>
    <row r="120" spans="2:13" s="548" customFormat="1" x14ac:dyDescent="0.2">
      <c r="B120" s="2845" t="s">
        <v>597</v>
      </c>
      <c r="C120" s="2846"/>
      <c r="D120" s="2846"/>
      <c r="E120" s="2846"/>
      <c r="F120" s="2846"/>
      <c r="G120" s="2846"/>
      <c r="H120" s="2846"/>
      <c r="I120" s="2846"/>
      <c r="J120" s="2847"/>
      <c r="K120" s="614">
        <f>SUM(K90:K119)</f>
        <v>61.666666666666671</v>
      </c>
      <c r="L120" s="615">
        <f>SUM(L90:L119)</f>
        <v>4.1111111111111107</v>
      </c>
    </row>
    <row r="121" spans="2:13" s="548" customFormat="1" ht="16.5" customHeight="1" x14ac:dyDescent="0.2">
      <c r="B121" s="1887" t="s">
        <v>378</v>
      </c>
      <c r="C121" s="602"/>
      <c r="D121" s="602"/>
      <c r="E121" s="602"/>
      <c r="F121" s="602"/>
      <c r="G121" s="602"/>
      <c r="H121" s="602"/>
      <c r="I121" s="602"/>
      <c r="J121" s="616"/>
      <c r="K121" s="617" t="s">
        <v>534</v>
      </c>
      <c r="L121" s="618" t="s">
        <v>451</v>
      </c>
    </row>
    <row r="122" spans="2:13" s="548" customFormat="1" ht="27" customHeight="1" x14ac:dyDescent="0.2">
      <c r="B122" s="635" t="s">
        <v>171</v>
      </c>
      <c r="C122" s="2835" t="s">
        <v>204</v>
      </c>
      <c r="D122" s="2835"/>
      <c r="E122" s="2835"/>
      <c r="F122" s="2835"/>
      <c r="G122" s="2835"/>
      <c r="H122" s="2835"/>
      <c r="I122" s="2835"/>
      <c r="J122" s="2854"/>
      <c r="K122" s="619" t="str">
        <f>'3 ภาระงานบริการวิชาการ'!I7</f>
        <v>มี</v>
      </c>
      <c r="L122" s="622">
        <f>'3 ภาระงานบริการวิชาการ'!J7</f>
        <v>2.5</v>
      </c>
    </row>
    <row r="123" spans="2:13" s="548" customFormat="1" x14ac:dyDescent="0.2">
      <c r="B123" s="620" t="s">
        <v>177</v>
      </c>
      <c r="C123" s="2838" t="s">
        <v>598</v>
      </c>
      <c r="D123" s="2838"/>
      <c r="E123" s="2838"/>
      <c r="F123" s="2838"/>
      <c r="G123" s="2838"/>
      <c r="H123" s="2838"/>
      <c r="I123" s="2838"/>
      <c r="J123" s="2839"/>
      <c r="K123" s="619" t="str">
        <f>IF('3 ภาระงานบริการวิชาการ'!M8=TRUE,"มี","ไม่มี")</f>
        <v>ไม่มี</v>
      </c>
      <c r="L123" s="2822">
        <f>'3 ภาระงานบริการวิชาการ'!J8</f>
        <v>2.5</v>
      </c>
    </row>
    <row r="124" spans="2:13" s="548" customFormat="1" x14ac:dyDescent="0.2">
      <c r="B124" s="621"/>
      <c r="C124" s="2838" t="s">
        <v>423</v>
      </c>
      <c r="D124" s="2838"/>
      <c r="E124" s="2838"/>
      <c r="F124" s="2838"/>
      <c r="G124" s="2838"/>
      <c r="H124" s="2838"/>
      <c r="I124" s="2838"/>
      <c r="J124" s="2839"/>
      <c r="K124" s="644" t="str">
        <f>IF('3 ภาระงานบริการวิชาการ'!M9=TRUE,"มี","ไม่มี")</f>
        <v>มี</v>
      </c>
      <c r="L124" s="2823"/>
    </row>
    <row r="125" spans="2:13" s="548" customFormat="1" x14ac:dyDescent="0.2">
      <c r="B125" s="2849" t="s">
        <v>599</v>
      </c>
      <c r="C125" s="2850"/>
      <c r="D125" s="2850"/>
      <c r="E125" s="2850"/>
      <c r="F125" s="2850"/>
      <c r="G125" s="2850"/>
      <c r="H125" s="2850"/>
      <c r="I125" s="2850"/>
      <c r="J125" s="2851"/>
      <c r="K125" s="628"/>
      <c r="L125" s="629">
        <f>L122+L123</f>
        <v>5</v>
      </c>
    </row>
    <row r="126" spans="2:13" x14ac:dyDescent="0.2">
      <c r="K126" s="548"/>
      <c r="L126" s="548"/>
      <c r="M126" s="548"/>
    </row>
    <row r="127" spans="2:13" s="548" customFormat="1" ht="15" x14ac:dyDescent="0.25">
      <c r="B127" s="598" t="s">
        <v>600</v>
      </c>
    </row>
    <row r="128" spans="2:13" s="548" customFormat="1" ht="25.5" customHeight="1" x14ac:dyDescent="0.2">
      <c r="B128" s="2773" t="s">
        <v>601</v>
      </c>
      <c r="C128" s="2774"/>
      <c r="D128" s="2774"/>
      <c r="E128" s="2774"/>
      <c r="F128" s="2774"/>
      <c r="G128" s="2774"/>
      <c r="H128" s="2774"/>
      <c r="I128" s="2774"/>
      <c r="J128" s="2775"/>
      <c r="K128" s="599" t="s">
        <v>518</v>
      </c>
      <c r="L128" s="600" t="s">
        <v>519</v>
      </c>
    </row>
    <row r="129" spans="2:13" s="548" customFormat="1" x14ac:dyDescent="0.2">
      <c r="B129" s="1886" t="s">
        <v>377</v>
      </c>
      <c r="C129" s="602"/>
      <c r="D129" s="602"/>
      <c r="E129" s="602"/>
      <c r="F129" s="602"/>
      <c r="G129" s="602"/>
      <c r="H129" s="602"/>
      <c r="I129" s="602"/>
      <c r="J129" s="602"/>
      <c r="K129" s="603"/>
      <c r="L129" s="604"/>
    </row>
    <row r="130" spans="2:13" s="548" customFormat="1" x14ac:dyDescent="0.2">
      <c r="B130" s="605" t="s">
        <v>171</v>
      </c>
      <c r="C130" s="606" t="s">
        <v>602</v>
      </c>
      <c r="D130" s="606"/>
      <c r="E130" s="607"/>
      <c r="F130" s="607"/>
      <c r="G130" s="607"/>
      <c r="H130" s="607"/>
      <c r="I130" s="607"/>
      <c r="J130" s="608"/>
      <c r="K130" s="609">
        <f>'4 ทำนุบำรุงศิลปะ'!G20</f>
        <v>0</v>
      </c>
      <c r="L130" s="610">
        <f>'4 ทำนุบำรุงศิลปะ'!H20</f>
        <v>0</v>
      </c>
    </row>
    <row r="131" spans="2:13" s="548" customFormat="1" x14ac:dyDescent="0.2">
      <c r="B131" s="611" t="s">
        <v>548</v>
      </c>
      <c r="C131" s="2834" t="s">
        <v>603</v>
      </c>
      <c r="D131" s="2834"/>
      <c r="E131" s="2834"/>
      <c r="F131" s="2834"/>
      <c r="G131" s="2834"/>
      <c r="H131" s="1908"/>
      <c r="I131" s="1908"/>
      <c r="J131" s="1875"/>
      <c r="K131" s="612">
        <f>'4 ทำนุบำรุงศิลปะ'!G32</f>
        <v>16</v>
      </c>
      <c r="L131" s="613">
        <f>'4 ทำนุบำรุงศิลปะ'!H32</f>
        <v>1.0666666666666667</v>
      </c>
    </row>
    <row r="132" spans="2:13" s="548" customFormat="1" x14ac:dyDescent="0.2">
      <c r="B132" s="611" t="s">
        <v>550</v>
      </c>
      <c r="C132" s="642" t="s">
        <v>604</v>
      </c>
      <c r="D132" s="642"/>
      <c r="E132" s="642"/>
      <c r="F132" s="642"/>
      <c r="G132" s="642"/>
      <c r="H132" s="642"/>
      <c r="I132" s="642"/>
      <c r="J132" s="643"/>
      <c r="K132" s="612">
        <f>'4 ทำนุบำรุงศิลปะ'!G46</f>
        <v>14</v>
      </c>
      <c r="L132" s="613">
        <f>'4 ทำนุบำรุงศิลปะ'!H46</f>
        <v>0.93333333333333335</v>
      </c>
    </row>
    <row r="133" spans="2:13" s="548" customFormat="1" x14ac:dyDescent="0.2">
      <c r="B133" s="611" t="s">
        <v>552</v>
      </c>
      <c r="C133" s="642" t="s">
        <v>605</v>
      </c>
      <c r="D133" s="1908"/>
      <c r="E133" s="1908"/>
      <c r="F133" s="1908"/>
      <c r="G133" s="1908"/>
      <c r="H133" s="1908"/>
      <c r="I133" s="1908"/>
      <c r="J133" s="1875"/>
      <c r="K133" s="612">
        <f>'4 ทำนุบำรุงศิลปะ'!G58</f>
        <v>0</v>
      </c>
      <c r="L133" s="613">
        <f>'4 ทำนุบำรุงศิลปะ'!H58</f>
        <v>0</v>
      </c>
    </row>
    <row r="134" spans="2:13" s="548" customFormat="1" x14ac:dyDescent="0.2">
      <c r="B134" s="2842" t="s">
        <v>606</v>
      </c>
      <c r="C134" s="2843"/>
      <c r="D134" s="2843"/>
      <c r="E134" s="2843"/>
      <c r="F134" s="2843"/>
      <c r="G134" s="2843"/>
      <c r="H134" s="1907"/>
      <c r="I134" s="1907"/>
      <c r="J134" s="1910"/>
      <c r="K134" s="645">
        <f>SUM(K130:K133)</f>
        <v>30</v>
      </c>
      <c r="L134" s="646">
        <f>SUM(L130:L133)</f>
        <v>2</v>
      </c>
    </row>
    <row r="135" spans="2:13" x14ac:dyDescent="0.2">
      <c r="B135" s="584"/>
      <c r="C135" s="584"/>
      <c r="D135" s="584"/>
      <c r="E135" s="584"/>
      <c r="F135" s="584"/>
      <c r="G135" s="584"/>
      <c r="H135" s="584"/>
      <c r="I135" s="584"/>
      <c r="J135" s="584"/>
      <c r="K135" s="548"/>
      <c r="L135" s="548"/>
      <c r="M135" s="548"/>
    </row>
    <row r="136" spans="2:13" s="548" customFormat="1" ht="15" x14ac:dyDescent="0.25">
      <c r="B136" s="585" t="s">
        <v>607</v>
      </c>
      <c r="C136" s="584"/>
      <c r="D136" s="584"/>
      <c r="E136" s="584"/>
      <c r="F136" s="584"/>
      <c r="G136" s="584"/>
      <c r="H136" s="584"/>
      <c r="I136" s="584"/>
      <c r="J136" s="584"/>
    </row>
    <row r="137" spans="2:13" s="548" customFormat="1" ht="25.5" x14ac:dyDescent="0.2">
      <c r="B137" s="2773" t="s">
        <v>608</v>
      </c>
      <c r="C137" s="2848"/>
      <c r="D137" s="2848"/>
      <c r="E137" s="2848"/>
      <c r="F137" s="2848"/>
      <c r="G137" s="2848"/>
      <c r="H137" s="1909"/>
      <c r="I137" s="1909"/>
      <c r="J137" s="1874"/>
      <c r="K137" s="599" t="s">
        <v>518</v>
      </c>
      <c r="L137" s="600" t="s">
        <v>519</v>
      </c>
    </row>
    <row r="138" spans="2:13" s="548" customFormat="1" x14ac:dyDescent="0.2">
      <c r="B138" s="605" t="s">
        <v>171</v>
      </c>
      <c r="C138" s="606" t="s">
        <v>609</v>
      </c>
      <c r="D138" s="606"/>
      <c r="E138" s="607"/>
      <c r="F138" s="607"/>
      <c r="G138" s="607"/>
      <c r="H138" s="607"/>
      <c r="I138" s="607"/>
      <c r="J138" s="608"/>
      <c r="K138" s="609">
        <f>'5 ภาระงานอื่น'!G11</f>
        <v>0</v>
      </c>
      <c r="L138" s="610">
        <f>'5 ภาระงานอื่น'!H11</f>
        <v>0</v>
      </c>
    </row>
    <row r="139" spans="2:13" s="548" customFormat="1" x14ac:dyDescent="0.2">
      <c r="B139" s="611" t="s">
        <v>548</v>
      </c>
      <c r="C139" s="2834" t="s">
        <v>610</v>
      </c>
      <c r="D139" s="2834"/>
      <c r="E139" s="2834"/>
      <c r="F139" s="2834"/>
      <c r="G139" s="2834"/>
      <c r="H139" s="1908"/>
      <c r="I139" s="1908"/>
      <c r="J139" s="1875"/>
      <c r="K139" s="612">
        <f>IF(L139=0,0,'5 ภาระงานอื่น'!G17)</f>
        <v>15</v>
      </c>
      <c r="L139" s="613">
        <f>'5 ภาระงานอื่น'!H17</f>
        <v>1</v>
      </c>
    </row>
    <row r="140" spans="2:13" s="548" customFormat="1" x14ac:dyDescent="0.2">
      <c r="B140" s="611" t="s">
        <v>550</v>
      </c>
      <c r="C140" s="647" t="s">
        <v>611</v>
      </c>
      <c r="D140" s="642"/>
      <c r="E140" s="642"/>
      <c r="F140" s="642"/>
      <c r="G140" s="642"/>
      <c r="H140" s="642"/>
      <c r="I140" s="642"/>
      <c r="J140" s="643"/>
      <c r="K140" s="612">
        <f>'5 ภาระงานอื่น'!G57</f>
        <v>15</v>
      </c>
      <c r="L140" s="613">
        <f>'5 ภาระงานอื่น'!H57</f>
        <v>1</v>
      </c>
    </row>
    <row r="141" spans="2:13" s="548" customFormat="1" x14ac:dyDescent="0.2">
      <c r="B141" s="611" t="s">
        <v>552</v>
      </c>
      <c r="C141" s="642" t="s">
        <v>612</v>
      </c>
      <c r="D141" s="1908"/>
      <c r="E141" s="1908"/>
      <c r="F141" s="1908"/>
      <c r="G141" s="1908"/>
      <c r="H141" s="1908"/>
      <c r="I141" s="1908"/>
      <c r="J141" s="1875"/>
      <c r="K141" s="612">
        <f>'5 ภาระงานอื่น'!G89</f>
        <v>26</v>
      </c>
      <c r="L141" s="613">
        <f>'5 ภาระงานอื่น'!H89</f>
        <v>1.7333333333333334</v>
      </c>
    </row>
    <row r="142" spans="2:13" s="548" customFormat="1" x14ac:dyDescent="0.2">
      <c r="B142" s="611" t="s">
        <v>189</v>
      </c>
      <c r="C142" s="642" t="s">
        <v>613</v>
      </c>
      <c r="D142" s="1908"/>
      <c r="E142" s="1908"/>
      <c r="F142" s="1908"/>
      <c r="G142" s="1908"/>
      <c r="H142" s="1908"/>
      <c r="I142" s="1908"/>
      <c r="J142" s="1875"/>
      <c r="K142" s="612">
        <f>'5 ภาระงานอื่น'!G100</f>
        <v>1</v>
      </c>
      <c r="L142" s="613">
        <f>'5 ภาระงานอื่น'!H100</f>
        <v>6.6666666666666666E-2</v>
      </c>
    </row>
    <row r="143" spans="2:13" s="548" customFormat="1" x14ac:dyDescent="0.2">
      <c r="B143" s="2842" t="s">
        <v>614</v>
      </c>
      <c r="C143" s="2843"/>
      <c r="D143" s="2843"/>
      <c r="E143" s="2843"/>
      <c r="F143" s="2843"/>
      <c r="G143" s="2843"/>
      <c r="H143" s="1907"/>
      <c r="I143" s="1907"/>
      <c r="J143" s="1910"/>
      <c r="K143" s="645">
        <f>SUM(K138:K142)</f>
        <v>57</v>
      </c>
      <c r="L143" s="646">
        <f>SUM(L138:L142)</f>
        <v>3.8000000000000003</v>
      </c>
    </row>
  </sheetData>
  <mergeCells count="70">
    <mergeCell ref="B128:J128"/>
    <mergeCell ref="B125:J125"/>
    <mergeCell ref="C72:J72"/>
    <mergeCell ref="B42:G42"/>
    <mergeCell ref="B43:G43"/>
    <mergeCell ref="C122:J122"/>
    <mergeCell ref="C123:J123"/>
    <mergeCell ref="C124:J124"/>
    <mergeCell ref="B60:J60"/>
    <mergeCell ref="C62:J62"/>
    <mergeCell ref="C63:J63"/>
    <mergeCell ref="C64:J64"/>
    <mergeCell ref="C65:J65"/>
    <mergeCell ref="C68:J68"/>
    <mergeCell ref="B143:G143"/>
    <mergeCell ref="C131:G131"/>
    <mergeCell ref="B134:G134"/>
    <mergeCell ref="B137:G137"/>
    <mergeCell ref="C139:G139"/>
    <mergeCell ref="L123:L124"/>
    <mergeCell ref="C80:G80"/>
    <mergeCell ref="C83:G83"/>
    <mergeCell ref="C92:G92"/>
    <mergeCell ref="C66:J66"/>
    <mergeCell ref="C67:J67"/>
    <mergeCell ref="C71:J71"/>
    <mergeCell ref="B77:J77"/>
    <mergeCell ref="B73:J73"/>
    <mergeCell ref="B81:J81"/>
    <mergeCell ref="B85:J85"/>
    <mergeCell ref="B88:J88"/>
    <mergeCell ref="B120:J120"/>
    <mergeCell ref="L68:L69"/>
    <mergeCell ref="C69:J69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K20:K23"/>
    <mergeCell ref="L64:L65"/>
    <mergeCell ref="D12:H12"/>
    <mergeCell ref="B8:I8"/>
    <mergeCell ref="D10:H10"/>
    <mergeCell ref="D11:H11"/>
    <mergeCell ref="B41:G41"/>
    <mergeCell ref="H20:H23"/>
    <mergeCell ref="E19:J19"/>
    <mergeCell ref="B39:G39"/>
    <mergeCell ref="F20:F23"/>
    <mergeCell ref="G20:G23"/>
    <mergeCell ref="I20:I23"/>
    <mergeCell ref="J20:J23"/>
    <mergeCell ref="K19:M19"/>
    <mergeCell ref="M20:M23"/>
    <mergeCell ref="B45:L45"/>
    <mergeCell ref="B49:J49"/>
    <mergeCell ref="L20:L23"/>
    <mergeCell ref="B36:G38"/>
    <mergeCell ref="B31:E31"/>
    <mergeCell ref="B19:D24"/>
  </mergeCells>
  <conditionalFormatting sqref="K26:K29 J27:J30 I26:I30">
    <cfRule type="containsText" dxfId="23" priority="31" stopIfTrue="1" operator="containsText" text="Unsatisfied">
      <formula>NOT(ISERROR(SEARCH("Unsatisfied",I26)))</formula>
    </cfRule>
    <cfRule type="containsText" dxfId="22" priority="32" stopIfTrue="1" operator="containsText" text="Satisfied">
      <formula>NOT(ISERROR(SEARCH("Satisfied",I26)))</formula>
    </cfRule>
    <cfRule type="expression" dxfId="21" priority="33" stopIfTrue="1">
      <formula>IF($I$27:$I$30,"Satisfied")</formula>
    </cfRule>
  </conditionalFormatting>
  <conditionalFormatting sqref="I25">
    <cfRule type="containsText" dxfId="20" priority="28" stopIfTrue="1" operator="containsText" text="Unsatisfied">
      <formula>NOT(ISERROR(SEARCH("Unsatisfied",I25)))</formula>
    </cfRule>
    <cfRule type="containsText" dxfId="19" priority="29" stopIfTrue="1" operator="containsText" text="Satisfied">
      <formula>NOT(ISERROR(SEARCH("Satisfied",I25)))</formula>
    </cfRule>
    <cfRule type="expression" dxfId="18" priority="30" stopIfTrue="1">
      <formula>IF($I$27:$I$30,"Satisfied")</formula>
    </cfRule>
  </conditionalFormatting>
  <conditionalFormatting sqref="M26">
    <cfRule type="containsText" dxfId="17" priority="25" stopIfTrue="1" operator="containsText" text="Unsatisfied">
      <formula>NOT(ISERROR(SEARCH("Unsatisfied",M26)))</formula>
    </cfRule>
    <cfRule type="containsText" dxfId="16" priority="26" stopIfTrue="1" operator="containsText" text="Satisfied">
      <formula>NOT(ISERROR(SEARCH("Satisfied",M26)))</formula>
    </cfRule>
    <cfRule type="expression" dxfId="15" priority="27" stopIfTrue="1">
      <formula>IF($I$27:$I$30,"Satisfied")</formula>
    </cfRule>
  </conditionalFormatting>
  <conditionalFormatting sqref="M27:M29">
    <cfRule type="containsText" dxfId="14" priority="22" stopIfTrue="1" operator="containsText" text="Unsatisfied">
      <formula>NOT(ISERROR(SEARCH("Unsatisfied",M27)))</formula>
    </cfRule>
    <cfRule type="containsText" dxfId="13" priority="23" stopIfTrue="1" operator="containsText" text="Satisfied">
      <formula>NOT(ISERROR(SEARCH("Satisfied",M27)))</formula>
    </cfRule>
    <cfRule type="expression" dxfId="12" priority="24" stopIfTrue="1">
      <formula>IF($I$27:$I$30,"Satisfied")</formula>
    </cfRule>
  </conditionalFormatting>
  <conditionalFormatting sqref="J26">
    <cfRule type="containsText" dxfId="11" priority="13" stopIfTrue="1" operator="containsText" text="Unsatisfied">
      <formula>NOT(ISERROR(SEARCH("Unsatisfied",J26)))</formula>
    </cfRule>
    <cfRule type="containsText" dxfId="10" priority="14" stopIfTrue="1" operator="containsText" text="Satisfied">
      <formula>NOT(ISERROR(SEARCH("Satisfied",J26)))</formula>
    </cfRule>
    <cfRule type="expression" dxfId="9" priority="15" stopIfTrue="1">
      <formula>IF($I$27:$I$30,"Satisfied")</formula>
    </cfRule>
  </conditionalFormatting>
  <conditionalFormatting sqref="J25">
    <cfRule type="containsText" dxfId="8" priority="10" stopIfTrue="1" operator="containsText" text="Unsatisfied">
      <formula>NOT(ISERROR(SEARCH("Unsatisfied",J25)))</formula>
    </cfRule>
    <cfRule type="containsText" dxfId="7" priority="11" stopIfTrue="1" operator="containsText" text="Satisfied">
      <formula>NOT(ISERROR(SEARCH("Satisfied",J25)))</formula>
    </cfRule>
    <cfRule type="expression" dxfId="6" priority="12" stopIfTrue="1">
      <formula>IF($I$27:$I$30,"Satisfied")</formula>
    </cfRule>
  </conditionalFormatting>
  <conditionalFormatting sqref="I31">
    <cfRule type="containsText" dxfId="5" priority="7" stopIfTrue="1" operator="containsText" text="Unsatisfied">
      <formula>NOT(ISERROR(SEARCH("Unsatisfied",I31)))</formula>
    </cfRule>
    <cfRule type="containsText" dxfId="4" priority="8" stopIfTrue="1" operator="containsText" text="Satisfied">
      <formula>NOT(ISERROR(SEARCH("Satisfied",I31)))</formula>
    </cfRule>
    <cfRule type="expression" dxfId="3" priority="9" stopIfTrue="1">
      <formula>IF($I$27:$I$30,"Satisfied")</formula>
    </cfRule>
  </conditionalFormatting>
  <conditionalFormatting sqref="J31">
    <cfRule type="containsText" dxfId="2" priority="1" stopIfTrue="1" operator="containsText" text="Unsatisfied">
      <formula>NOT(ISERROR(SEARCH("Unsatisfied",J31)))</formula>
    </cfRule>
    <cfRule type="containsText" dxfId="1" priority="2" stopIfTrue="1" operator="containsText" text="Satisfied">
      <formula>NOT(ISERROR(SEARCH("Satisfied",J31)))</formula>
    </cfRule>
    <cfRule type="expression" dxfId="0" priority="3" stopIfTrue="1">
      <formula>IF($I$27:$I$30,"Satisfied")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0" orientation="portrait" verticalDpi="1200" r:id="rId1"/>
  <headerFooter>
    <oddFooter>&amp;C&amp;9APS v.4.3 พนักงานมหาวิทยาลัย</oddFooter>
  </headerFooter>
  <rowBreaks count="2" manualBreakCount="2">
    <brk id="46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29"/>
  </sheetPr>
  <dimension ref="A1:AC421"/>
  <sheetViews>
    <sheetView showGridLines="0" topLeftCell="A382" zoomScaleSheetLayoutView="70" workbookViewId="0">
      <selection activeCell="C411" sqref="C411:G412"/>
    </sheetView>
  </sheetViews>
  <sheetFormatPr defaultColWidth="9" defaultRowHeight="14.25" x14ac:dyDescent="0.2"/>
  <cols>
    <col min="1" max="1" width="1.625" style="649" customWidth="1"/>
    <col min="2" max="2" width="8.25" style="649" customWidth="1"/>
    <col min="3" max="3" width="7.125" style="649" customWidth="1"/>
    <col min="4" max="4" width="27.125" style="649" customWidth="1"/>
    <col min="5" max="5" width="7.375" style="650" customWidth="1"/>
    <col min="6" max="6" width="10.75" style="649" bestFit="1" customWidth="1"/>
    <col min="7" max="7" width="11" style="650" bestFit="1" customWidth="1"/>
    <col min="8" max="8" width="10.875" style="650" customWidth="1"/>
    <col min="9" max="9" width="7.75" style="650" customWidth="1"/>
    <col min="10" max="10" width="11.625" style="650" customWidth="1"/>
    <col min="11" max="11" width="11.625" style="649" bestFit="1" customWidth="1"/>
    <col min="12" max="13" width="8" style="649" customWidth="1"/>
    <col min="14" max="15" width="9.875" style="649" hidden="1" customWidth="1"/>
    <col min="16" max="16" width="8" style="649" hidden="1" customWidth="1"/>
    <col min="17" max="17" width="8.875" style="649" hidden="1" customWidth="1"/>
    <col min="18" max="19" width="8" style="649" hidden="1" customWidth="1"/>
    <col min="20" max="23" width="8" style="649" customWidth="1"/>
    <col min="24" max="24" width="5.625" style="650" customWidth="1"/>
    <col min="25" max="25" width="8" style="650" customWidth="1"/>
    <col min="26" max="26" width="7.125" style="650" customWidth="1"/>
    <col min="27" max="34" width="8" style="649" customWidth="1"/>
    <col min="35" max="16384" width="9" style="649"/>
  </cols>
  <sheetData>
    <row r="1" spans="1:26" x14ac:dyDescent="0.2">
      <c r="J1" s="651"/>
      <c r="K1" s="652"/>
      <c r="L1" s="652"/>
    </row>
    <row r="2" spans="1:26" ht="23.25" x14ac:dyDescent="0.35">
      <c r="B2" s="653" t="s">
        <v>618</v>
      </c>
      <c r="D2" s="654"/>
      <c r="E2" s="655"/>
      <c r="J2" s="2879"/>
      <c r="K2" s="2879"/>
      <c r="L2" s="656"/>
    </row>
    <row r="3" spans="1:26" ht="15" x14ac:dyDescent="0.2">
      <c r="B3" s="1142" t="s">
        <v>771</v>
      </c>
      <c r="J3" s="657"/>
      <c r="K3" s="658"/>
      <c r="L3" s="657"/>
    </row>
    <row r="4" spans="1:26" ht="9.75" customHeight="1" x14ac:dyDescent="0.25">
      <c r="A4" s="659"/>
      <c r="B4" s="660"/>
      <c r="C4" s="659"/>
      <c r="D4" s="659"/>
      <c r="E4" s="661"/>
      <c r="F4" s="659"/>
      <c r="G4" s="661"/>
      <c r="K4" s="661"/>
      <c r="L4" s="662"/>
    </row>
    <row r="5" spans="1:26" ht="18" x14ac:dyDescent="0.25">
      <c r="A5" s="659"/>
      <c r="B5" s="2880" t="s">
        <v>619</v>
      </c>
      <c r="C5" s="2881"/>
      <c r="D5" s="2881"/>
      <c r="E5" s="2881"/>
      <c r="F5" s="2881"/>
      <c r="G5" s="2881"/>
      <c r="H5" s="2881"/>
      <c r="I5" s="2881"/>
      <c r="J5" s="2881"/>
      <c r="K5" s="2882"/>
      <c r="L5" s="662"/>
      <c r="N5" s="1517">
        <v>241336</v>
      </c>
      <c r="O5" s="1517">
        <v>241700</v>
      </c>
    </row>
    <row r="6" spans="1:26" ht="31.5" customHeight="1" x14ac:dyDescent="0.2">
      <c r="A6" s="659"/>
      <c r="B6" s="663" t="s">
        <v>620</v>
      </c>
      <c r="C6" s="2883" t="s">
        <v>621</v>
      </c>
      <c r="D6" s="2883"/>
      <c r="E6" s="2883"/>
      <c r="F6" s="2883"/>
      <c r="G6" s="2883"/>
      <c r="H6" s="2883"/>
      <c r="I6" s="2883"/>
      <c r="J6" s="664" t="s">
        <v>622</v>
      </c>
      <c r="K6" s="665" t="s">
        <v>451</v>
      </c>
      <c r="L6" s="662"/>
      <c r="N6" s="1517">
        <v>233757</v>
      </c>
      <c r="O6" s="1509"/>
    </row>
    <row r="7" spans="1:26" ht="27" customHeight="1" x14ac:dyDescent="0.2">
      <c r="A7" s="659"/>
      <c r="B7" s="2864">
        <v>1</v>
      </c>
      <c r="C7" s="2865" t="s">
        <v>623</v>
      </c>
      <c r="D7" s="2865"/>
      <c r="E7" s="2865"/>
      <c r="F7" s="2865"/>
      <c r="G7" s="2865"/>
      <c r="H7" s="2865"/>
      <c r="I7" s="2865"/>
      <c r="J7" s="666"/>
      <c r="K7" s="2866">
        <f>IF(AND(N7=TRUE,N8=TRUE),1,0)</f>
        <v>1</v>
      </c>
      <c r="L7" s="667"/>
      <c r="N7" s="668" t="b">
        <v>1</v>
      </c>
      <c r="O7" s="668"/>
      <c r="P7" s="668"/>
      <c r="Q7" s="668"/>
    </row>
    <row r="8" spans="1:26" ht="27" customHeight="1" x14ac:dyDescent="0.2">
      <c r="A8" s="659"/>
      <c r="B8" s="2864"/>
      <c r="C8" s="2865" t="s">
        <v>624</v>
      </c>
      <c r="D8" s="2865"/>
      <c r="E8" s="2865"/>
      <c r="F8" s="2865"/>
      <c r="G8" s="2865"/>
      <c r="H8" s="2865"/>
      <c r="I8" s="2865"/>
      <c r="J8" s="666"/>
      <c r="K8" s="2884"/>
      <c r="L8" s="667"/>
      <c r="N8" s="668" t="b">
        <v>1</v>
      </c>
      <c r="O8" s="668"/>
      <c r="P8" s="668"/>
      <c r="Q8" s="668"/>
    </row>
    <row r="9" spans="1:26" ht="27" customHeight="1" x14ac:dyDescent="0.2">
      <c r="A9" s="659"/>
      <c r="B9" s="2864">
        <v>2</v>
      </c>
      <c r="C9" s="2865" t="s">
        <v>625</v>
      </c>
      <c r="D9" s="2865"/>
      <c r="E9" s="2865"/>
      <c r="F9" s="2865"/>
      <c r="G9" s="2865"/>
      <c r="H9" s="2865"/>
      <c r="I9" s="2865"/>
      <c r="J9" s="669"/>
      <c r="K9" s="2866">
        <f>IF(AND(N7=TRUE,OR(N9=TRUE,N10=TRUE)),3,0)</f>
        <v>3</v>
      </c>
      <c r="L9" s="667"/>
      <c r="N9" s="668" t="b">
        <v>1</v>
      </c>
      <c r="O9" s="668"/>
      <c r="P9" s="668"/>
      <c r="Q9" s="668"/>
    </row>
    <row r="10" spans="1:26" ht="30" customHeight="1" x14ac:dyDescent="0.2">
      <c r="A10" s="659"/>
      <c r="B10" s="2864"/>
      <c r="C10" s="2865" t="s">
        <v>626</v>
      </c>
      <c r="D10" s="2865"/>
      <c r="E10" s="2865"/>
      <c r="F10" s="2865"/>
      <c r="G10" s="2865"/>
      <c r="H10" s="2865"/>
      <c r="I10" s="2865"/>
      <c r="J10" s="669"/>
      <c r="K10" s="2867"/>
      <c r="L10" s="667"/>
      <c r="N10" s="668" t="b">
        <v>1</v>
      </c>
      <c r="O10" s="668"/>
      <c r="P10" s="668"/>
      <c r="Q10" s="668"/>
    </row>
    <row r="11" spans="1:26" ht="30" customHeight="1" x14ac:dyDescent="0.2">
      <c r="A11" s="659"/>
      <c r="B11" s="2868">
        <v>3.1</v>
      </c>
      <c r="C11" s="2870" t="s">
        <v>1172</v>
      </c>
      <c r="D11" s="2865"/>
      <c r="E11" s="2865"/>
      <c r="F11" s="2865"/>
      <c r="G11" s="2865"/>
      <c r="H11" s="2865"/>
      <c r="I11" s="2865"/>
      <c r="J11" s="669"/>
      <c r="K11" s="2866">
        <f>IF(AND(N11=TRUE,N12=TRUE),0.5,0)</f>
        <v>0.5</v>
      </c>
      <c r="L11" s="1853"/>
      <c r="N11" s="668" t="b">
        <v>1</v>
      </c>
      <c r="O11" s="668"/>
      <c r="P11" s="668"/>
      <c r="Q11" s="668"/>
    </row>
    <row r="12" spans="1:26" ht="30" customHeight="1" x14ac:dyDescent="0.2">
      <c r="A12" s="659"/>
      <c r="B12" s="2869"/>
      <c r="C12" s="2865" t="s">
        <v>627</v>
      </c>
      <c r="D12" s="2865"/>
      <c r="E12" s="2865"/>
      <c r="F12" s="2865"/>
      <c r="G12" s="2865"/>
      <c r="H12" s="2865"/>
      <c r="I12" s="2865"/>
      <c r="J12" s="670"/>
      <c r="K12" s="2867"/>
      <c r="L12" s="667"/>
      <c r="N12" s="668" t="b">
        <v>1</v>
      </c>
      <c r="O12" s="668"/>
      <c r="P12" s="668"/>
      <c r="Q12" s="668"/>
    </row>
    <row r="13" spans="1:26" ht="30" customHeight="1" x14ac:dyDescent="0.2">
      <c r="A13" s="659"/>
      <c r="B13" s="2868">
        <v>3.2</v>
      </c>
      <c r="C13" s="2870" t="s">
        <v>1173</v>
      </c>
      <c r="D13" s="2865"/>
      <c r="E13" s="2865"/>
      <c r="F13" s="2865"/>
      <c r="G13" s="2865"/>
      <c r="H13" s="2865"/>
      <c r="I13" s="2865"/>
      <c r="J13" s="1851"/>
      <c r="K13" s="2866">
        <f>IF(AND(N13=TRUE,N14=TRUE),0.5,0)</f>
        <v>0.5</v>
      </c>
      <c r="L13" s="1853"/>
      <c r="N13" s="668" t="b">
        <v>1</v>
      </c>
      <c r="O13" s="668"/>
      <c r="P13" s="668"/>
      <c r="Q13" s="668"/>
      <c r="X13" s="1852"/>
      <c r="Y13" s="1852"/>
      <c r="Z13" s="1852"/>
    </row>
    <row r="14" spans="1:26" ht="30" customHeight="1" x14ac:dyDescent="0.2">
      <c r="A14" s="659"/>
      <c r="B14" s="2869"/>
      <c r="C14" s="2865" t="s">
        <v>627</v>
      </c>
      <c r="D14" s="2865"/>
      <c r="E14" s="2865"/>
      <c r="F14" s="2865"/>
      <c r="G14" s="2865"/>
      <c r="H14" s="2865"/>
      <c r="I14" s="2865"/>
      <c r="J14" s="670"/>
      <c r="K14" s="2867"/>
      <c r="L14" s="667"/>
      <c r="N14" s="668" t="b">
        <v>1</v>
      </c>
      <c r="O14" s="668"/>
      <c r="P14" s="668"/>
      <c r="Q14" s="668"/>
      <c r="X14" s="1852"/>
      <c r="Y14" s="1852"/>
      <c r="Z14" s="1852"/>
    </row>
    <row r="15" spans="1:26" ht="78" customHeight="1" x14ac:dyDescent="0.2">
      <c r="A15" s="659"/>
      <c r="B15" s="671">
        <v>4</v>
      </c>
      <c r="C15" s="2889" t="s">
        <v>628</v>
      </c>
      <c r="D15" s="2889"/>
      <c r="E15" s="2889"/>
      <c r="F15" s="2889"/>
      <c r="G15" s="2889"/>
      <c r="H15" s="2889"/>
      <c r="I15" s="2889"/>
      <c r="J15" s="672" t="str">
        <f>IF(OR(J344&lt;&gt;0,J356&lt;&gt;0,J366&lt;&gt;0,J380&lt;&gt;0),"มี","ไม่มี")</f>
        <v>ไม่มี</v>
      </c>
      <c r="K15" s="673">
        <f>IF(AND(J15="มี",N7=TRUE),3,0)</f>
        <v>0</v>
      </c>
      <c r="L15" s="667"/>
      <c r="N15" s="668"/>
      <c r="O15" s="668"/>
      <c r="P15" s="668"/>
      <c r="Q15" s="668"/>
    </row>
    <row r="16" spans="1:26" ht="28.5" customHeight="1" x14ac:dyDescent="0.2">
      <c r="A16" s="659"/>
      <c r="B16" s="1920">
        <v>5.0999999999999996</v>
      </c>
      <c r="C16" s="2890" t="s">
        <v>1174</v>
      </c>
      <c r="D16" s="2891"/>
      <c r="E16" s="2891"/>
      <c r="F16" s="2891"/>
      <c r="G16" s="2891"/>
      <c r="H16" s="2891"/>
      <c r="I16" s="2891"/>
      <c r="J16" s="1921"/>
      <c r="K16" s="1922">
        <f>IF(N16=TRUE,1,0)</f>
        <v>1</v>
      </c>
      <c r="L16" s="1853"/>
      <c r="N16" s="668" t="b">
        <v>1</v>
      </c>
      <c r="O16" s="668"/>
      <c r="P16" s="668"/>
      <c r="Q16" s="668"/>
    </row>
    <row r="17" spans="1:29" ht="28.5" customHeight="1" x14ac:dyDescent="0.2">
      <c r="A17" s="659"/>
      <c r="B17" s="1917">
        <v>5.2</v>
      </c>
      <c r="C17" s="2873" t="s">
        <v>1175</v>
      </c>
      <c r="D17" s="2874"/>
      <c r="E17" s="2874"/>
      <c r="F17" s="2874"/>
      <c r="G17" s="2874"/>
      <c r="H17" s="2874"/>
      <c r="I17" s="2874"/>
      <c r="J17" s="1918"/>
      <c r="K17" s="1919">
        <f>IF(N17=TRUE,1,0)</f>
        <v>1</v>
      </c>
      <c r="L17" s="1853"/>
      <c r="N17" s="668" t="b">
        <v>1</v>
      </c>
      <c r="O17" s="668"/>
      <c r="P17" s="668"/>
      <c r="Q17" s="668"/>
      <c r="X17" s="1877"/>
      <c r="Y17" s="1877"/>
      <c r="Z17" s="1877"/>
    </row>
    <row r="18" spans="1:29" ht="18" customHeight="1" x14ac:dyDescent="0.2">
      <c r="A18" s="659"/>
      <c r="B18" s="2892" t="s">
        <v>629</v>
      </c>
      <c r="C18" s="2893"/>
      <c r="D18" s="2893"/>
      <c r="E18" s="2893"/>
      <c r="F18" s="2893"/>
      <c r="G18" s="2893"/>
      <c r="H18" s="2893"/>
      <c r="I18" s="2893"/>
      <c r="J18" s="2894"/>
      <c r="K18" s="674">
        <f>SUM(K7:K17)</f>
        <v>7</v>
      </c>
      <c r="L18" s="1854"/>
    </row>
    <row r="19" spans="1:29" ht="18" x14ac:dyDescent="0.25">
      <c r="A19" s="659"/>
      <c r="B19" s="675"/>
      <c r="C19" s="675"/>
      <c r="D19" s="675"/>
      <c r="E19" s="675"/>
      <c r="F19" s="675"/>
      <c r="G19" s="675"/>
      <c r="H19" s="675"/>
      <c r="I19" s="675"/>
      <c r="J19" s="675"/>
      <c r="K19" s="675"/>
      <c r="L19" s="662"/>
    </row>
    <row r="20" spans="1:29" ht="18" x14ac:dyDescent="0.25">
      <c r="A20" s="659"/>
      <c r="B20" s="2880" t="s">
        <v>630</v>
      </c>
      <c r="C20" s="2881"/>
      <c r="D20" s="2881"/>
      <c r="E20" s="2881"/>
      <c r="F20" s="2881"/>
      <c r="G20" s="2881"/>
      <c r="H20" s="2881"/>
      <c r="I20" s="2881"/>
      <c r="J20" s="2881"/>
      <c r="K20" s="2882"/>
      <c r="L20" s="662"/>
    </row>
    <row r="21" spans="1:29" s="676" customFormat="1" ht="21" customHeight="1" x14ac:dyDescent="0.2">
      <c r="B21" s="677">
        <v>1</v>
      </c>
      <c r="C21" s="678" t="s">
        <v>520</v>
      </c>
      <c r="D21" s="679"/>
      <c r="E21" s="680"/>
      <c r="F21" s="680"/>
      <c r="G21" s="681"/>
      <c r="H21" s="681"/>
      <c r="I21" s="681"/>
      <c r="J21" s="681"/>
      <c r="K21" s="682"/>
      <c r="L21" s="683"/>
      <c r="X21" s="684"/>
      <c r="Y21" s="684"/>
      <c r="Z21" s="684"/>
    </row>
    <row r="22" spans="1:29" s="676" customFormat="1" ht="21" customHeight="1" x14ac:dyDescent="0.2">
      <c r="B22" s="685">
        <v>1.1000000000000001</v>
      </c>
      <c r="C22" s="686" t="s">
        <v>631</v>
      </c>
      <c r="D22" s="687"/>
      <c r="E22" s="688"/>
      <c r="F22" s="688"/>
      <c r="G22" s="689"/>
      <c r="H22" s="689"/>
      <c r="I22" s="689"/>
      <c r="J22" s="689"/>
      <c r="K22" s="690"/>
      <c r="L22" s="691"/>
      <c r="X22" s="684"/>
      <c r="Y22" s="684"/>
      <c r="Z22" s="684"/>
    </row>
    <row r="23" spans="1:29" s="676" customFormat="1" ht="19.5" customHeight="1" x14ac:dyDescent="0.2">
      <c r="B23" s="692"/>
      <c r="C23" s="693" t="s">
        <v>632</v>
      </c>
      <c r="D23" s="694"/>
      <c r="E23" s="695"/>
      <c r="F23" s="696" t="s">
        <v>633</v>
      </c>
      <c r="G23" s="697"/>
      <c r="H23" s="695"/>
      <c r="I23" s="697"/>
      <c r="J23" s="697"/>
      <c r="K23" s="698"/>
      <c r="L23" s="699"/>
      <c r="X23" s="684"/>
      <c r="Y23" s="684"/>
      <c r="Z23" s="684"/>
    </row>
    <row r="24" spans="1:29" ht="14.25" customHeight="1" x14ac:dyDescent="0.2">
      <c r="B24" s="700"/>
      <c r="C24" s="701" t="s">
        <v>634</v>
      </c>
      <c r="D24" s="2875" t="s">
        <v>635</v>
      </c>
      <c r="E24" s="2876"/>
      <c r="F24" s="701" t="s">
        <v>449</v>
      </c>
      <c r="G24" s="702" t="s">
        <v>636</v>
      </c>
      <c r="H24" s="704" t="s">
        <v>449</v>
      </c>
      <c r="I24" s="705" t="s">
        <v>638</v>
      </c>
      <c r="J24" s="705" t="s">
        <v>639</v>
      </c>
      <c r="K24" s="706" t="s">
        <v>639</v>
      </c>
      <c r="L24" s="707"/>
    </row>
    <row r="25" spans="1:29" ht="14.25" customHeight="1" x14ac:dyDescent="0.2">
      <c r="B25" s="708"/>
      <c r="C25" s="709"/>
      <c r="D25" s="2871" t="s">
        <v>1185</v>
      </c>
      <c r="E25" s="2872"/>
      <c r="F25" s="709" t="s">
        <v>640</v>
      </c>
      <c r="G25" s="710" t="s">
        <v>641</v>
      </c>
      <c r="H25" s="712" t="s">
        <v>643</v>
      </c>
      <c r="I25" s="713" t="s">
        <v>644</v>
      </c>
      <c r="J25" s="713" t="s">
        <v>641</v>
      </c>
      <c r="K25" s="706" t="s">
        <v>510</v>
      </c>
      <c r="L25" s="714"/>
      <c r="Q25" s="2860"/>
      <c r="R25" s="2860"/>
      <c r="S25" s="2860"/>
      <c r="T25" s="2860"/>
    </row>
    <row r="26" spans="1:29" ht="14.25" customHeight="1" x14ac:dyDescent="0.2">
      <c r="B26" s="715"/>
      <c r="C26" s="716"/>
      <c r="D26" s="2877" t="s">
        <v>1243</v>
      </c>
      <c r="E26" s="2878"/>
      <c r="F26" s="716"/>
      <c r="G26" s="717"/>
      <c r="H26" s="719"/>
      <c r="I26" s="720"/>
      <c r="J26" s="720"/>
      <c r="K26" s="721"/>
      <c r="L26" s="722"/>
    </row>
    <row r="27" spans="1:29" s="723" customFormat="1" x14ac:dyDescent="0.2">
      <c r="B27" s="724" t="s">
        <v>646</v>
      </c>
      <c r="C27" s="725" t="s">
        <v>647</v>
      </c>
      <c r="D27" s="2903" t="s">
        <v>1149</v>
      </c>
      <c r="E27" s="2905"/>
      <c r="F27" s="725">
        <v>61</v>
      </c>
      <c r="G27" s="726">
        <v>30</v>
      </c>
      <c r="H27" s="1138">
        <v>1</v>
      </c>
      <c r="I27" s="771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1139">
        <f>IF(AND(F27&lt;&gt;"",F27&lt;&gt;0),IF(AND(G27&lt;&gt;"",G27&lt;&gt;0),G27*I27,0),0)</f>
        <v>90</v>
      </c>
      <c r="K27" s="1140">
        <f t="shared" ref="K27:K57" si="1">J27/15</f>
        <v>6</v>
      </c>
      <c r="L27" s="727"/>
      <c r="M27" s="728"/>
      <c r="O27" s="728"/>
      <c r="X27" s="729"/>
      <c r="Y27" s="729"/>
      <c r="Z27" s="729"/>
      <c r="AA27" s="728"/>
      <c r="AB27" s="728"/>
      <c r="AC27" s="728"/>
    </row>
    <row r="28" spans="1:29" s="730" customFormat="1" ht="12.75" x14ac:dyDescent="0.2">
      <c r="B28" s="1889" t="s">
        <v>743</v>
      </c>
      <c r="C28" s="1964"/>
      <c r="D28" s="2888"/>
      <c r="E28" s="2859"/>
      <c r="F28" s="732"/>
      <c r="G28" s="732"/>
      <c r="H28" s="733" t="str">
        <f t="shared" ref="H28:H57" si="2">IF(F28&lt;&gt;"",1,"")</f>
        <v/>
      </c>
      <c r="I28" s="734" t="str">
        <f t="shared" si="0"/>
        <v/>
      </c>
      <c r="J28" s="735">
        <f>IF(AND(F28&lt;&gt;"",F28&lt;&gt;0),IF(AND(G28&lt;&gt;"",G28&lt;&gt;0),G28*I28,0),0)</f>
        <v>0</v>
      </c>
      <c r="K28" s="736">
        <f t="shared" si="1"/>
        <v>0</v>
      </c>
      <c r="L28" s="737"/>
      <c r="O28" s="738"/>
      <c r="X28" s="739"/>
      <c r="Y28" s="729"/>
      <c r="Z28" s="729"/>
      <c r="AA28" s="728"/>
      <c r="AB28" s="728"/>
      <c r="AC28" s="728"/>
    </row>
    <row r="29" spans="1:29" s="730" customFormat="1" ht="12.75" x14ac:dyDescent="0.2">
      <c r="B29" s="1889" t="s">
        <v>744</v>
      </c>
      <c r="C29" s="732"/>
      <c r="D29" s="2888"/>
      <c r="E29" s="2859"/>
      <c r="F29" s="732"/>
      <c r="G29" s="732"/>
      <c r="H29" s="733" t="str">
        <f t="shared" si="2"/>
        <v/>
      </c>
      <c r="I29" s="734" t="str">
        <f t="shared" si="0"/>
        <v/>
      </c>
      <c r="J29" s="735">
        <f t="shared" ref="J29:J57" si="3">IF(AND(F29&lt;&gt;"",F29&lt;&gt;0),IF(AND(G29&lt;&gt;"",G29&lt;&gt;0),G29*I29,0),0)</f>
        <v>0</v>
      </c>
      <c r="K29" s="742">
        <f t="shared" si="1"/>
        <v>0</v>
      </c>
      <c r="L29" s="737"/>
      <c r="O29" s="738"/>
      <c r="X29" s="739"/>
      <c r="Y29" s="729"/>
      <c r="Z29" s="729"/>
      <c r="AA29" s="728"/>
      <c r="AB29" s="728"/>
      <c r="AC29" s="728"/>
    </row>
    <row r="30" spans="1:29" s="730" customFormat="1" ht="12.75" x14ac:dyDescent="0.2">
      <c r="B30" s="1889" t="s">
        <v>745</v>
      </c>
      <c r="C30" s="741"/>
      <c r="D30" s="2888"/>
      <c r="E30" s="2859"/>
      <c r="F30" s="732"/>
      <c r="G30" s="732"/>
      <c r="H30" s="733" t="str">
        <f t="shared" si="2"/>
        <v/>
      </c>
      <c r="I30" s="734" t="str">
        <f t="shared" si="0"/>
        <v/>
      </c>
      <c r="J30" s="735">
        <f t="shared" si="3"/>
        <v>0</v>
      </c>
      <c r="K30" s="742">
        <f t="shared" si="1"/>
        <v>0</v>
      </c>
      <c r="L30" s="737"/>
      <c r="O30" s="738"/>
      <c r="X30" s="739"/>
      <c r="Y30" s="729"/>
      <c r="Z30" s="729"/>
      <c r="AA30" s="728"/>
      <c r="AB30" s="728"/>
      <c r="AC30" s="728"/>
    </row>
    <row r="31" spans="1:29" s="730" customFormat="1" ht="12.75" x14ac:dyDescent="0.2">
      <c r="B31" s="1889" t="s">
        <v>746</v>
      </c>
      <c r="C31" s="741"/>
      <c r="D31" s="2942"/>
      <c r="E31" s="2943"/>
      <c r="F31" s="732"/>
      <c r="G31" s="732"/>
      <c r="H31" s="733" t="str">
        <f t="shared" si="2"/>
        <v/>
      </c>
      <c r="I31" s="734" t="str">
        <f t="shared" si="0"/>
        <v/>
      </c>
      <c r="J31" s="735">
        <f t="shared" si="3"/>
        <v>0</v>
      </c>
      <c r="K31" s="742">
        <f t="shared" si="1"/>
        <v>0</v>
      </c>
      <c r="L31" s="743"/>
      <c r="O31" s="738"/>
      <c r="X31" s="739"/>
      <c r="Y31" s="729"/>
      <c r="Z31" s="729"/>
      <c r="AA31" s="728"/>
      <c r="AB31" s="728"/>
      <c r="AC31" s="728"/>
    </row>
    <row r="32" spans="1:29" s="730" customFormat="1" ht="12.75" x14ac:dyDescent="0.2">
      <c r="B32" s="1889" t="s">
        <v>747</v>
      </c>
      <c r="C32" s="741"/>
      <c r="D32" s="2857"/>
      <c r="E32" s="2859"/>
      <c r="F32" s="732"/>
      <c r="G32" s="732"/>
      <c r="H32" s="733" t="str">
        <f t="shared" si="2"/>
        <v/>
      </c>
      <c r="I32" s="734" t="str">
        <f t="shared" si="0"/>
        <v/>
      </c>
      <c r="J32" s="735">
        <f t="shared" si="3"/>
        <v>0</v>
      </c>
      <c r="K32" s="742">
        <f t="shared" si="1"/>
        <v>0</v>
      </c>
      <c r="L32" s="737"/>
      <c r="O32" s="738"/>
      <c r="X32" s="739"/>
      <c r="Y32" s="729"/>
      <c r="Z32" s="729"/>
      <c r="AA32" s="728"/>
      <c r="AB32" s="728"/>
      <c r="AC32" s="728"/>
    </row>
    <row r="33" spans="2:29" s="730" customFormat="1" ht="12.75" x14ac:dyDescent="0.2">
      <c r="B33" s="1889" t="s">
        <v>748</v>
      </c>
      <c r="C33" s="741"/>
      <c r="D33" s="2857"/>
      <c r="E33" s="2859"/>
      <c r="F33" s="732"/>
      <c r="G33" s="732"/>
      <c r="H33" s="733" t="str">
        <f t="shared" si="2"/>
        <v/>
      </c>
      <c r="I33" s="734" t="str">
        <f t="shared" si="0"/>
        <v/>
      </c>
      <c r="J33" s="735">
        <f t="shared" si="3"/>
        <v>0</v>
      </c>
      <c r="K33" s="742">
        <f t="shared" si="1"/>
        <v>0</v>
      </c>
      <c r="L33" s="737"/>
      <c r="O33" s="738"/>
      <c r="X33" s="739"/>
      <c r="Y33" s="729"/>
      <c r="Z33" s="729"/>
      <c r="AA33" s="728"/>
      <c r="AB33" s="728"/>
      <c r="AC33" s="728"/>
    </row>
    <row r="34" spans="2:29" s="730" customFormat="1" ht="12.75" x14ac:dyDescent="0.2">
      <c r="B34" s="1889" t="s">
        <v>749</v>
      </c>
      <c r="C34" s="741"/>
      <c r="D34" s="2857"/>
      <c r="E34" s="2859"/>
      <c r="F34" s="732"/>
      <c r="G34" s="732"/>
      <c r="H34" s="733" t="str">
        <f t="shared" si="2"/>
        <v/>
      </c>
      <c r="I34" s="734" t="str">
        <f t="shared" si="0"/>
        <v/>
      </c>
      <c r="J34" s="735">
        <f t="shared" si="3"/>
        <v>0</v>
      </c>
      <c r="K34" s="742">
        <f t="shared" si="1"/>
        <v>0</v>
      </c>
      <c r="L34" s="737"/>
      <c r="O34" s="738"/>
      <c r="X34" s="739"/>
      <c r="Y34" s="729"/>
      <c r="Z34" s="729"/>
      <c r="AA34" s="728"/>
      <c r="AB34" s="728"/>
      <c r="AC34" s="728"/>
    </row>
    <row r="35" spans="2:29" s="730" customFormat="1" ht="12.75" x14ac:dyDescent="0.2">
      <c r="B35" s="1889" t="s">
        <v>750</v>
      </c>
      <c r="C35" s="741"/>
      <c r="D35" s="2857"/>
      <c r="E35" s="2859"/>
      <c r="F35" s="732"/>
      <c r="G35" s="732"/>
      <c r="H35" s="733" t="str">
        <f t="shared" si="2"/>
        <v/>
      </c>
      <c r="I35" s="734" t="str">
        <f t="shared" si="0"/>
        <v/>
      </c>
      <c r="J35" s="735">
        <f t="shared" si="3"/>
        <v>0</v>
      </c>
      <c r="K35" s="742">
        <f t="shared" si="1"/>
        <v>0</v>
      </c>
      <c r="L35" s="737"/>
      <c r="O35" s="738"/>
      <c r="X35" s="739"/>
      <c r="Y35" s="729"/>
      <c r="Z35" s="729"/>
      <c r="AA35" s="728"/>
      <c r="AB35" s="728"/>
      <c r="AC35" s="728"/>
    </row>
    <row r="36" spans="2:29" s="730" customFormat="1" ht="12.75" x14ac:dyDescent="0.2">
      <c r="B36" s="1889" t="s">
        <v>925</v>
      </c>
      <c r="C36" s="741"/>
      <c r="D36" s="2857"/>
      <c r="E36" s="2859"/>
      <c r="F36" s="732"/>
      <c r="G36" s="732"/>
      <c r="H36" s="733" t="str">
        <f t="shared" si="2"/>
        <v/>
      </c>
      <c r="I36" s="734" t="str">
        <f t="shared" si="0"/>
        <v/>
      </c>
      <c r="J36" s="735">
        <f t="shared" si="3"/>
        <v>0</v>
      </c>
      <c r="K36" s="742">
        <f t="shared" si="1"/>
        <v>0</v>
      </c>
      <c r="L36" s="737"/>
      <c r="O36" s="738"/>
      <c r="X36" s="739"/>
      <c r="Y36" s="729"/>
      <c r="Z36" s="729"/>
      <c r="AA36" s="728"/>
      <c r="AB36" s="728"/>
      <c r="AC36" s="728"/>
    </row>
    <row r="37" spans="2:29" s="730" customFormat="1" ht="12.75" x14ac:dyDescent="0.2">
      <c r="B37" s="1889" t="s">
        <v>926</v>
      </c>
      <c r="C37" s="741"/>
      <c r="D37" s="2857"/>
      <c r="E37" s="2859"/>
      <c r="F37" s="732"/>
      <c r="G37" s="732"/>
      <c r="H37" s="733" t="str">
        <f t="shared" si="2"/>
        <v/>
      </c>
      <c r="I37" s="734" t="str">
        <f t="shared" si="0"/>
        <v/>
      </c>
      <c r="J37" s="735">
        <f t="shared" si="3"/>
        <v>0</v>
      </c>
      <c r="K37" s="742">
        <f t="shared" si="1"/>
        <v>0</v>
      </c>
      <c r="L37" s="737"/>
      <c r="O37" s="738"/>
      <c r="X37" s="739"/>
      <c r="Y37" s="729"/>
      <c r="Z37" s="729"/>
      <c r="AA37" s="728"/>
      <c r="AB37" s="728"/>
      <c r="AC37" s="728"/>
    </row>
    <row r="38" spans="2:29" s="730" customFormat="1" ht="12.75" x14ac:dyDescent="0.2">
      <c r="B38" s="1889" t="s">
        <v>946</v>
      </c>
      <c r="C38" s="732"/>
      <c r="D38" s="2857"/>
      <c r="E38" s="2859"/>
      <c r="F38" s="732"/>
      <c r="G38" s="732"/>
      <c r="H38" s="733" t="str">
        <f t="shared" si="2"/>
        <v/>
      </c>
      <c r="I38" s="734" t="str">
        <f t="shared" si="0"/>
        <v/>
      </c>
      <c r="J38" s="735">
        <f t="shared" si="3"/>
        <v>0</v>
      </c>
      <c r="K38" s="736">
        <f t="shared" si="1"/>
        <v>0</v>
      </c>
      <c r="L38" s="737"/>
      <c r="O38" s="738"/>
      <c r="X38" s="739"/>
      <c r="Y38" s="729"/>
      <c r="Z38" s="729"/>
      <c r="AA38" s="728"/>
      <c r="AB38" s="728"/>
      <c r="AC38" s="728"/>
    </row>
    <row r="39" spans="2:29" s="730" customFormat="1" ht="12.75" x14ac:dyDescent="0.2">
      <c r="B39" s="1889" t="s">
        <v>947</v>
      </c>
      <c r="C39" s="741"/>
      <c r="D39" s="2857"/>
      <c r="E39" s="2859"/>
      <c r="F39" s="732"/>
      <c r="G39" s="732"/>
      <c r="H39" s="733" t="str">
        <f t="shared" si="2"/>
        <v/>
      </c>
      <c r="I39" s="734" t="str">
        <f t="shared" si="0"/>
        <v/>
      </c>
      <c r="J39" s="735">
        <f t="shared" si="3"/>
        <v>0</v>
      </c>
      <c r="K39" s="742">
        <f t="shared" si="1"/>
        <v>0</v>
      </c>
      <c r="L39" s="737"/>
      <c r="O39" s="738"/>
      <c r="X39" s="739"/>
      <c r="Y39" s="729"/>
      <c r="Z39" s="729"/>
      <c r="AA39" s="728"/>
      <c r="AB39" s="728"/>
      <c r="AC39" s="728"/>
    </row>
    <row r="40" spans="2:29" s="730" customFormat="1" ht="12.75" x14ac:dyDescent="0.2">
      <c r="B40" s="1889" t="s">
        <v>948</v>
      </c>
      <c r="C40" s="741"/>
      <c r="D40" s="2857"/>
      <c r="E40" s="2859"/>
      <c r="F40" s="732"/>
      <c r="G40" s="732"/>
      <c r="H40" s="733" t="str">
        <f t="shared" si="2"/>
        <v/>
      </c>
      <c r="I40" s="734" t="str">
        <f t="shared" si="0"/>
        <v/>
      </c>
      <c r="J40" s="735">
        <f t="shared" si="3"/>
        <v>0</v>
      </c>
      <c r="K40" s="742">
        <f t="shared" si="1"/>
        <v>0</v>
      </c>
      <c r="L40" s="737"/>
      <c r="O40" s="738"/>
      <c r="X40" s="739"/>
      <c r="Y40" s="729"/>
      <c r="Z40" s="729"/>
      <c r="AA40" s="728"/>
      <c r="AB40" s="728"/>
      <c r="AC40" s="728"/>
    </row>
    <row r="41" spans="2:29" s="730" customFormat="1" ht="12.75" x14ac:dyDescent="0.2">
      <c r="B41" s="1889" t="s">
        <v>949</v>
      </c>
      <c r="C41" s="741"/>
      <c r="D41" s="2857"/>
      <c r="E41" s="2859"/>
      <c r="F41" s="732"/>
      <c r="G41" s="732"/>
      <c r="H41" s="733" t="str">
        <f t="shared" si="2"/>
        <v/>
      </c>
      <c r="I41" s="734" t="str">
        <f t="shared" si="0"/>
        <v/>
      </c>
      <c r="J41" s="735">
        <f t="shared" si="3"/>
        <v>0</v>
      </c>
      <c r="K41" s="742">
        <f t="shared" si="1"/>
        <v>0</v>
      </c>
      <c r="L41" s="743"/>
      <c r="O41" s="738"/>
      <c r="X41" s="739"/>
      <c r="Y41" s="729"/>
      <c r="Z41" s="729"/>
      <c r="AA41" s="728"/>
      <c r="AB41" s="728"/>
      <c r="AC41" s="728"/>
    </row>
    <row r="42" spans="2:29" s="730" customFormat="1" ht="12.75" x14ac:dyDescent="0.2">
      <c r="B42" s="1889" t="s">
        <v>950</v>
      </c>
      <c r="C42" s="741"/>
      <c r="D42" s="2857"/>
      <c r="E42" s="2859"/>
      <c r="F42" s="732"/>
      <c r="G42" s="732"/>
      <c r="H42" s="733" t="str">
        <f t="shared" si="2"/>
        <v/>
      </c>
      <c r="I42" s="734" t="str">
        <f t="shared" si="0"/>
        <v/>
      </c>
      <c r="J42" s="735">
        <f t="shared" si="3"/>
        <v>0</v>
      </c>
      <c r="K42" s="742">
        <f t="shared" si="1"/>
        <v>0</v>
      </c>
      <c r="L42" s="737"/>
      <c r="O42" s="738"/>
      <c r="X42" s="739"/>
      <c r="Y42" s="729"/>
      <c r="Z42" s="729"/>
      <c r="AA42" s="728"/>
      <c r="AB42" s="728"/>
      <c r="AC42" s="728"/>
    </row>
    <row r="43" spans="2:29" s="730" customFormat="1" ht="12.75" x14ac:dyDescent="0.2">
      <c r="B43" s="1889" t="s">
        <v>951</v>
      </c>
      <c r="C43" s="741"/>
      <c r="D43" s="2857"/>
      <c r="E43" s="2859"/>
      <c r="F43" s="732"/>
      <c r="G43" s="732"/>
      <c r="H43" s="733" t="str">
        <f t="shared" si="2"/>
        <v/>
      </c>
      <c r="I43" s="734" t="str">
        <f t="shared" si="0"/>
        <v/>
      </c>
      <c r="J43" s="735">
        <f t="shared" si="3"/>
        <v>0</v>
      </c>
      <c r="K43" s="742">
        <f t="shared" si="1"/>
        <v>0</v>
      </c>
      <c r="L43" s="737"/>
      <c r="O43" s="738"/>
      <c r="X43" s="739"/>
      <c r="Y43" s="729"/>
      <c r="Z43" s="729"/>
      <c r="AA43" s="728"/>
      <c r="AB43" s="728"/>
      <c r="AC43" s="728"/>
    </row>
    <row r="44" spans="2:29" s="730" customFormat="1" ht="12.75" x14ac:dyDescent="0.2">
      <c r="B44" s="1889" t="s">
        <v>952</v>
      </c>
      <c r="C44" s="741"/>
      <c r="D44" s="2857"/>
      <c r="E44" s="2859"/>
      <c r="F44" s="732"/>
      <c r="G44" s="732"/>
      <c r="H44" s="733" t="str">
        <f t="shared" si="2"/>
        <v/>
      </c>
      <c r="I44" s="734" t="str">
        <f t="shared" si="0"/>
        <v/>
      </c>
      <c r="J44" s="735">
        <f t="shared" si="3"/>
        <v>0</v>
      </c>
      <c r="K44" s="742">
        <f t="shared" si="1"/>
        <v>0</v>
      </c>
      <c r="L44" s="737"/>
      <c r="O44" s="738"/>
      <c r="X44" s="739"/>
      <c r="Y44" s="729"/>
      <c r="Z44" s="729"/>
      <c r="AA44" s="728"/>
      <c r="AB44" s="728"/>
      <c r="AC44" s="728"/>
    </row>
    <row r="45" spans="2:29" s="730" customFormat="1" ht="12.75" x14ac:dyDescent="0.2">
      <c r="B45" s="1889" t="s">
        <v>953</v>
      </c>
      <c r="C45" s="741"/>
      <c r="D45" s="2857"/>
      <c r="E45" s="2859"/>
      <c r="F45" s="732"/>
      <c r="G45" s="732"/>
      <c r="H45" s="733" t="str">
        <f t="shared" si="2"/>
        <v/>
      </c>
      <c r="I45" s="734" t="str">
        <f t="shared" si="0"/>
        <v/>
      </c>
      <c r="J45" s="735">
        <f t="shared" si="3"/>
        <v>0</v>
      </c>
      <c r="K45" s="742">
        <f t="shared" si="1"/>
        <v>0</v>
      </c>
      <c r="L45" s="737"/>
      <c r="O45" s="738"/>
      <c r="X45" s="739"/>
      <c r="Y45" s="729"/>
      <c r="Z45" s="729"/>
      <c r="AA45" s="728"/>
      <c r="AB45" s="728"/>
      <c r="AC45" s="728"/>
    </row>
    <row r="46" spans="2:29" s="730" customFormat="1" ht="12.75" x14ac:dyDescent="0.2">
      <c r="B46" s="1889" t="s">
        <v>954</v>
      </c>
      <c r="C46" s="741"/>
      <c r="D46" s="2857"/>
      <c r="E46" s="2859"/>
      <c r="F46" s="732"/>
      <c r="G46" s="732"/>
      <c r="H46" s="733" t="str">
        <f t="shared" si="2"/>
        <v/>
      </c>
      <c r="I46" s="734" t="str">
        <f t="shared" si="0"/>
        <v/>
      </c>
      <c r="J46" s="735">
        <f t="shared" si="3"/>
        <v>0</v>
      </c>
      <c r="K46" s="742">
        <f t="shared" si="1"/>
        <v>0</v>
      </c>
      <c r="L46" s="737"/>
      <c r="O46" s="738"/>
      <c r="X46" s="739"/>
      <c r="Y46" s="729"/>
      <c r="Z46" s="729"/>
      <c r="AA46" s="728"/>
      <c r="AB46" s="728"/>
      <c r="AC46" s="728"/>
    </row>
    <row r="47" spans="2:29" s="730" customFormat="1" ht="12.75" x14ac:dyDescent="0.2">
      <c r="B47" s="1889" t="s">
        <v>955</v>
      </c>
      <c r="C47" s="741"/>
      <c r="D47" s="2857"/>
      <c r="E47" s="2859"/>
      <c r="F47" s="732"/>
      <c r="G47" s="732"/>
      <c r="H47" s="733" t="str">
        <f t="shared" si="2"/>
        <v/>
      </c>
      <c r="I47" s="734" t="str">
        <f t="shared" si="0"/>
        <v/>
      </c>
      <c r="J47" s="735">
        <f t="shared" si="3"/>
        <v>0</v>
      </c>
      <c r="K47" s="742">
        <f t="shared" si="1"/>
        <v>0</v>
      </c>
      <c r="L47" s="737"/>
      <c r="O47" s="738"/>
      <c r="X47" s="739"/>
      <c r="Y47" s="729"/>
      <c r="Z47" s="729"/>
      <c r="AA47" s="728"/>
      <c r="AB47" s="728"/>
      <c r="AC47" s="728"/>
    </row>
    <row r="48" spans="2:29" s="730" customFormat="1" ht="12.75" x14ac:dyDescent="0.2">
      <c r="B48" s="1889" t="s">
        <v>1139</v>
      </c>
      <c r="C48" s="732"/>
      <c r="D48" s="2857"/>
      <c r="E48" s="2859"/>
      <c r="F48" s="732"/>
      <c r="G48" s="732"/>
      <c r="H48" s="733" t="str">
        <f t="shared" si="2"/>
        <v/>
      </c>
      <c r="I48" s="734" t="str">
        <f t="shared" si="0"/>
        <v/>
      </c>
      <c r="J48" s="735">
        <f t="shared" si="3"/>
        <v>0</v>
      </c>
      <c r="K48" s="736">
        <f t="shared" si="1"/>
        <v>0</v>
      </c>
      <c r="L48" s="737"/>
      <c r="O48" s="738"/>
      <c r="X48" s="739"/>
      <c r="Y48" s="729"/>
      <c r="Z48" s="729"/>
      <c r="AA48" s="728"/>
      <c r="AB48" s="728"/>
      <c r="AC48" s="728"/>
    </row>
    <row r="49" spans="2:29" s="730" customFormat="1" ht="12.75" x14ac:dyDescent="0.2">
      <c r="B49" s="1889" t="s">
        <v>1140</v>
      </c>
      <c r="C49" s="741"/>
      <c r="D49" s="2857"/>
      <c r="E49" s="2859"/>
      <c r="F49" s="732"/>
      <c r="G49" s="732"/>
      <c r="H49" s="733" t="str">
        <f t="shared" si="2"/>
        <v/>
      </c>
      <c r="I49" s="734" t="str">
        <f t="shared" si="0"/>
        <v/>
      </c>
      <c r="J49" s="735">
        <f t="shared" si="3"/>
        <v>0</v>
      </c>
      <c r="K49" s="742">
        <f t="shared" si="1"/>
        <v>0</v>
      </c>
      <c r="L49" s="737"/>
      <c r="O49" s="738"/>
      <c r="X49" s="739"/>
      <c r="Y49" s="729"/>
      <c r="Z49" s="729"/>
      <c r="AA49" s="728"/>
      <c r="AB49" s="728"/>
      <c r="AC49" s="728"/>
    </row>
    <row r="50" spans="2:29" s="730" customFormat="1" ht="12.75" x14ac:dyDescent="0.2">
      <c r="B50" s="1889" t="s">
        <v>1141</v>
      </c>
      <c r="C50" s="741"/>
      <c r="D50" s="2857"/>
      <c r="E50" s="2859"/>
      <c r="F50" s="732"/>
      <c r="G50" s="732"/>
      <c r="H50" s="733" t="str">
        <f t="shared" si="2"/>
        <v/>
      </c>
      <c r="I50" s="734" t="str">
        <f t="shared" si="0"/>
        <v/>
      </c>
      <c r="J50" s="735">
        <f t="shared" si="3"/>
        <v>0</v>
      </c>
      <c r="K50" s="742">
        <f t="shared" si="1"/>
        <v>0</v>
      </c>
      <c r="L50" s="737"/>
      <c r="O50" s="738"/>
      <c r="X50" s="739"/>
      <c r="Y50" s="729"/>
      <c r="Z50" s="729"/>
      <c r="AA50" s="728"/>
      <c r="AB50" s="728"/>
      <c r="AC50" s="728"/>
    </row>
    <row r="51" spans="2:29" s="730" customFormat="1" ht="12.75" x14ac:dyDescent="0.2">
      <c r="B51" s="1889" t="s">
        <v>1142</v>
      </c>
      <c r="C51" s="741"/>
      <c r="D51" s="2857"/>
      <c r="E51" s="2859"/>
      <c r="F51" s="732"/>
      <c r="G51" s="732"/>
      <c r="H51" s="733" t="str">
        <f t="shared" si="2"/>
        <v/>
      </c>
      <c r="I51" s="734" t="str">
        <f t="shared" si="0"/>
        <v/>
      </c>
      <c r="J51" s="735">
        <f t="shared" si="3"/>
        <v>0</v>
      </c>
      <c r="K51" s="742">
        <f t="shared" si="1"/>
        <v>0</v>
      </c>
      <c r="L51" s="743"/>
      <c r="O51" s="738"/>
      <c r="X51" s="739"/>
      <c r="Y51" s="729"/>
      <c r="Z51" s="729"/>
      <c r="AA51" s="728"/>
      <c r="AB51" s="728"/>
      <c r="AC51" s="728"/>
    </row>
    <row r="52" spans="2:29" s="730" customFormat="1" ht="12.75" x14ac:dyDescent="0.2">
      <c r="B52" s="1889" t="s">
        <v>1143</v>
      </c>
      <c r="C52" s="741"/>
      <c r="D52" s="2857"/>
      <c r="E52" s="2859"/>
      <c r="F52" s="732"/>
      <c r="G52" s="732"/>
      <c r="H52" s="733" t="str">
        <f t="shared" si="2"/>
        <v/>
      </c>
      <c r="I52" s="734" t="str">
        <f t="shared" si="0"/>
        <v/>
      </c>
      <c r="J52" s="735">
        <f t="shared" si="3"/>
        <v>0</v>
      </c>
      <c r="K52" s="742">
        <f t="shared" si="1"/>
        <v>0</v>
      </c>
      <c r="L52" s="737"/>
      <c r="O52" s="738"/>
      <c r="X52" s="739"/>
      <c r="Y52" s="729"/>
      <c r="Z52" s="729"/>
      <c r="AA52" s="728"/>
      <c r="AB52" s="728"/>
      <c r="AC52" s="728"/>
    </row>
    <row r="53" spans="2:29" s="730" customFormat="1" ht="12.75" x14ac:dyDescent="0.2">
      <c r="B53" s="1889" t="s">
        <v>1144</v>
      </c>
      <c r="C53" s="741"/>
      <c r="D53" s="2857"/>
      <c r="E53" s="2859"/>
      <c r="F53" s="732"/>
      <c r="G53" s="732"/>
      <c r="H53" s="733" t="str">
        <f t="shared" si="2"/>
        <v/>
      </c>
      <c r="I53" s="734" t="str">
        <f t="shared" si="0"/>
        <v/>
      </c>
      <c r="J53" s="735">
        <f t="shared" si="3"/>
        <v>0</v>
      </c>
      <c r="K53" s="742">
        <f t="shared" si="1"/>
        <v>0</v>
      </c>
      <c r="L53" s="737"/>
      <c r="O53" s="738"/>
      <c r="X53" s="739"/>
      <c r="Y53" s="729"/>
      <c r="Z53" s="729"/>
      <c r="AA53" s="728"/>
      <c r="AB53" s="728"/>
      <c r="AC53" s="728"/>
    </row>
    <row r="54" spans="2:29" s="730" customFormat="1" ht="12.75" x14ac:dyDescent="0.2">
      <c r="B54" s="1889" t="s">
        <v>1145</v>
      </c>
      <c r="C54" s="741"/>
      <c r="D54" s="2857"/>
      <c r="E54" s="2859"/>
      <c r="F54" s="732"/>
      <c r="G54" s="732"/>
      <c r="H54" s="733" t="str">
        <f t="shared" si="2"/>
        <v/>
      </c>
      <c r="I54" s="734" t="str">
        <f t="shared" si="0"/>
        <v/>
      </c>
      <c r="J54" s="735">
        <f t="shared" si="3"/>
        <v>0</v>
      </c>
      <c r="K54" s="742">
        <f t="shared" si="1"/>
        <v>0</v>
      </c>
      <c r="L54" s="737"/>
      <c r="O54" s="738"/>
      <c r="X54" s="739"/>
      <c r="Y54" s="729"/>
      <c r="Z54" s="729"/>
      <c r="AA54" s="728"/>
      <c r="AB54" s="728"/>
      <c r="AC54" s="728"/>
    </row>
    <row r="55" spans="2:29" s="730" customFormat="1" ht="12.75" x14ac:dyDescent="0.2">
      <c r="B55" s="1889" t="s">
        <v>1146</v>
      </c>
      <c r="C55" s="741"/>
      <c r="D55" s="2857"/>
      <c r="E55" s="2859"/>
      <c r="F55" s="732"/>
      <c r="G55" s="732"/>
      <c r="H55" s="733" t="str">
        <f t="shared" si="2"/>
        <v/>
      </c>
      <c r="I55" s="734" t="str">
        <f t="shared" si="0"/>
        <v/>
      </c>
      <c r="J55" s="735">
        <f t="shared" si="3"/>
        <v>0</v>
      </c>
      <c r="K55" s="742">
        <f t="shared" si="1"/>
        <v>0</v>
      </c>
      <c r="L55" s="737"/>
      <c r="O55" s="738"/>
      <c r="X55" s="739"/>
      <c r="Y55" s="729"/>
      <c r="Z55" s="729"/>
      <c r="AA55" s="728"/>
      <c r="AB55" s="728"/>
      <c r="AC55" s="728"/>
    </row>
    <row r="56" spans="2:29" s="730" customFormat="1" ht="12.75" x14ac:dyDescent="0.2">
      <c r="B56" s="1889" t="s">
        <v>1147</v>
      </c>
      <c r="C56" s="741"/>
      <c r="D56" s="2857"/>
      <c r="E56" s="2859"/>
      <c r="F56" s="732"/>
      <c r="G56" s="732"/>
      <c r="H56" s="733" t="str">
        <f t="shared" si="2"/>
        <v/>
      </c>
      <c r="I56" s="734" t="str">
        <f t="shared" si="0"/>
        <v/>
      </c>
      <c r="J56" s="735">
        <f t="shared" si="3"/>
        <v>0</v>
      </c>
      <c r="K56" s="742">
        <f t="shared" si="1"/>
        <v>0</v>
      </c>
      <c r="L56" s="737"/>
      <c r="O56" s="738"/>
      <c r="X56" s="739"/>
      <c r="Y56" s="729"/>
      <c r="Z56" s="729"/>
      <c r="AA56" s="728"/>
      <c r="AB56" s="728"/>
      <c r="AC56" s="728"/>
    </row>
    <row r="57" spans="2:29" s="730" customFormat="1" ht="12.75" x14ac:dyDescent="0.2">
      <c r="B57" s="1941" t="s">
        <v>1148</v>
      </c>
      <c r="C57" s="1942"/>
      <c r="D57" s="2895"/>
      <c r="E57" s="2896"/>
      <c r="F57" s="1942"/>
      <c r="G57" s="1942"/>
      <c r="H57" s="1943" t="str">
        <f t="shared" si="2"/>
        <v/>
      </c>
      <c r="I57" s="1944" t="str">
        <f t="shared" si="0"/>
        <v/>
      </c>
      <c r="J57" s="1945">
        <f t="shared" si="3"/>
        <v>0</v>
      </c>
      <c r="K57" s="1946">
        <f t="shared" si="1"/>
        <v>0</v>
      </c>
      <c r="L57" s="737"/>
      <c r="O57" s="738"/>
      <c r="X57" s="739"/>
      <c r="Y57" s="729"/>
      <c r="Z57" s="729"/>
      <c r="AA57" s="728"/>
      <c r="AB57" s="728"/>
      <c r="AC57" s="728"/>
    </row>
    <row r="58" spans="2:29" s="730" customFormat="1" ht="12.75" x14ac:dyDescent="0.2">
      <c r="B58" s="1947" t="s">
        <v>1176</v>
      </c>
      <c r="C58" s="1948"/>
      <c r="D58" s="2897"/>
      <c r="E58" s="2899"/>
      <c r="F58" s="1948"/>
      <c r="G58" s="1948"/>
      <c r="H58" s="1949" t="str">
        <f t="shared" ref="H58:H67" si="4">IF(F58&lt;&gt;"",1,"")</f>
        <v/>
      </c>
      <c r="I58" s="1950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1951">
        <f t="shared" ref="J58:J67" si="6">IF(AND(F58&lt;&gt;"",F58&lt;&gt;0),IF(AND(G58&lt;&gt;"",G58&lt;&gt;0),G58*I58,0),0)</f>
        <v>0</v>
      </c>
      <c r="K58" s="1952">
        <f t="shared" ref="K58:K67" si="7">J58/15</f>
        <v>0</v>
      </c>
      <c r="L58" s="737"/>
      <c r="O58" s="738"/>
      <c r="X58" s="739"/>
      <c r="Y58" s="729"/>
      <c r="Z58" s="729"/>
      <c r="AA58" s="728"/>
      <c r="AB58" s="728"/>
      <c r="AC58" s="728"/>
    </row>
    <row r="59" spans="2:29" s="730" customFormat="1" ht="12.75" x14ac:dyDescent="0.2">
      <c r="B59" s="1889" t="s">
        <v>1177</v>
      </c>
      <c r="C59" s="741"/>
      <c r="D59" s="2857"/>
      <c r="E59" s="2859"/>
      <c r="F59" s="732"/>
      <c r="G59" s="732"/>
      <c r="H59" s="733" t="str">
        <f t="shared" si="4"/>
        <v/>
      </c>
      <c r="I59" s="734" t="str">
        <f t="shared" si="5"/>
        <v/>
      </c>
      <c r="J59" s="735">
        <f t="shared" si="6"/>
        <v>0</v>
      </c>
      <c r="K59" s="742">
        <f t="shared" si="7"/>
        <v>0</v>
      </c>
      <c r="L59" s="737"/>
      <c r="O59" s="738"/>
      <c r="X59" s="739"/>
      <c r="Y59" s="729"/>
      <c r="Z59" s="729"/>
      <c r="AA59" s="728"/>
      <c r="AB59" s="728"/>
      <c r="AC59" s="728"/>
    </row>
    <row r="60" spans="2:29" s="730" customFormat="1" ht="12.75" x14ac:dyDescent="0.2">
      <c r="B60" s="1889" t="s">
        <v>1178</v>
      </c>
      <c r="C60" s="741"/>
      <c r="D60" s="2857"/>
      <c r="E60" s="2859"/>
      <c r="F60" s="732"/>
      <c r="G60" s="732"/>
      <c r="H60" s="733" t="str">
        <f t="shared" si="4"/>
        <v/>
      </c>
      <c r="I60" s="734" t="str">
        <f t="shared" si="5"/>
        <v/>
      </c>
      <c r="J60" s="735">
        <f t="shared" si="6"/>
        <v>0</v>
      </c>
      <c r="K60" s="742">
        <f t="shared" si="7"/>
        <v>0</v>
      </c>
      <c r="L60" s="737"/>
      <c r="O60" s="738"/>
      <c r="X60" s="739"/>
      <c r="Y60" s="729"/>
      <c r="Z60" s="729"/>
      <c r="AA60" s="728"/>
      <c r="AB60" s="728"/>
      <c r="AC60" s="728"/>
    </row>
    <row r="61" spans="2:29" s="730" customFormat="1" ht="12.75" x14ac:dyDescent="0.2">
      <c r="B61" s="1889" t="s">
        <v>1179</v>
      </c>
      <c r="C61" s="741"/>
      <c r="D61" s="2857"/>
      <c r="E61" s="2859"/>
      <c r="F61" s="732"/>
      <c r="G61" s="732"/>
      <c r="H61" s="733" t="str">
        <f t="shared" si="4"/>
        <v/>
      </c>
      <c r="I61" s="734" t="str">
        <f t="shared" si="5"/>
        <v/>
      </c>
      <c r="J61" s="735">
        <f t="shared" si="6"/>
        <v>0</v>
      </c>
      <c r="K61" s="742">
        <f t="shared" si="7"/>
        <v>0</v>
      </c>
      <c r="L61" s="743"/>
      <c r="O61" s="738"/>
      <c r="X61" s="739"/>
      <c r="Y61" s="729"/>
      <c r="Z61" s="729"/>
      <c r="AA61" s="728"/>
      <c r="AB61" s="728"/>
      <c r="AC61" s="728"/>
    </row>
    <row r="62" spans="2:29" s="730" customFormat="1" ht="12.75" x14ac:dyDescent="0.2">
      <c r="B62" s="1889" t="s">
        <v>1180</v>
      </c>
      <c r="C62" s="741"/>
      <c r="D62" s="2857"/>
      <c r="E62" s="2859"/>
      <c r="F62" s="732"/>
      <c r="G62" s="732"/>
      <c r="H62" s="733" t="str">
        <f t="shared" si="4"/>
        <v/>
      </c>
      <c r="I62" s="734" t="str">
        <f t="shared" si="5"/>
        <v/>
      </c>
      <c r="J62" s="735">
        <f t="shared" si="6"/>
        <v>0</v>
      </c>
      <c r="K62" s="742">
        <f t="shared" si="7"/>
        <v>0</v>
      </c>
      <c r="L62" s="737"/>
      <c r="O62" s="738"/>
      <c r="X62" s="739"/>
      <c r="Y62" s="729"/>
      <c r="Z62" s="729"/>
      <c r="AA62" s="728"/>
      <c r="AB62" s="728"/>
      <c r="AC62" s="728"/>
    </row>
    <row r="63" spans="2:29" s="730" customFormat="1" ht="12.75" x14ac:dyDescent="0.2">
      <c r="B63" s="1889" t="s">
        <v>1181</v>
      </c>
      <c r="C63" s="741"/>
      <c r="D63" s="2857"/>
      <c r="E63" s="2859"/>
      <c r="F63" s="732"/>
      <c r="G63" s="732"/>
      <c r="H63" s="733" t="str">
        <f t="shared" si="4"/>
        <v/>
      </c>
      <c r="I63" s="734" t="str">
        <f t="shared" si="5"/>
        <v/>
      </c>
      <c r="J63" s="735">
        <f t="shared" si="6"/>
        <v>0</v>
      </c>
      <c r="K63" s="742">
        <f t="shared" si="7"/>
        <v>0</v>
      </c>
      <c r="L63" s="737"/>
      <c r="O63" s="738"/>
      <c r="X63" s="739"/>
      <c r="Y63" s="729"/>
      <c r="Z63" s="729"/>
      <c r="AA63" s="728"/>
      <c r="AB63" s="728"/>
      <c r="AC63" s="728"/>
    </row>
    <row r="64" spans="2:29" s="730" customFormat="1" ht="12.75" x14ac:dyDescent="0.2">
      <c r="B64" s="1889" t="s">
        <v>1182</v>
      </c>
      <c r="C64" s="741"/>
      <c r="D64" s="2857"/>
      <c r="E64" s="2859"/>
      <c r="F64" s="732"/>
      <c r="G64" s="732"/>
      <c r="H64" s="733" t="str">
        <f t="shared" si="4"/>
        <v/>
      </c>
      <c r="I64" s="734" t="str">
        <f t="shared" si="5"/>
        <v/>
      </c>
      <c r="J64" s="735">
        <f t="shared" si="6"/>
        <v>0</v>
      </c>
      <c r="K64" s="742">
        <f t="shared" si="7"/>
        <v>0</v>
      </c>
      <c r="L64" s="737"/>
      <c r="O64" s="738"/>
      <c r="X64" s="739"/>
      <c r="Y64" s="729"/>
      <c r="Z64" s="729"/>
      <c r="AA64" s="728"/>
      <c r="AB64" s="728"/>
      <c r="AC64" s="728"/>
    </row>
    <row r="65" spans="2:29" s="730" customFormat="1" ht="12.75" x14ac:dyDescent="0.2">
      <c r="B65" s="1889" t="s">
        <v>1183</v>
      </c>
      <c r="C65" s="741"/>
      <c r="D65" s="2857"/>
      <c r="E65" s="2859"/>
      <c r="F65" s="732"/>
      <c r="G65" s="732"/>
      <c r="H65" s="733" t="str">
        <f t="shared" si="4"/>
        <v/>
      </c>
      <c r="I65" s="734" t="str">
        <f t="shared" si="5"/>
        <v/>
      </c>
      <c r="J65" s="735">
        <f t="shared" si="6"/>
        <v>0</v>
      </c>
      <c r="K65" s="742">
        <f t="shared" si="7"/>
        <v>0</v>
      </c>
      <c r="L65" s="737"/>
      <c r="O65" s="738"/>
      <c r="X65" s="739"/>
      <c r="Y65" s="729"/>
      <c r="Z65" s="729"/>
      <c r="AA65" s="728"/>
      <c r="AB65" s="728"/>
      <c r="AC65" s="728"/>
    </row>
    <row r="66" spans="2:29" s="730" customFormat="1" ht="12.75" x14ac:dyDescent="0.2">
      <c r="B66" s="1889" t="s">
        <v>1184</v>
      </c>
      <c r="C66" s="741"/>
      <c r="D66" s="2857"/>
      <c r="E66" s="2859"/>
      <c r="F66" s="732"/>
      <c r="G66" s="732"/>
      <c r="H66" s="733" t="str">
        <f t="shared" si="4"/>
        <v/>
      </c>
      <c r="I66" s="734" t="str">
        <f t="shared" si="5"/>
        <v/>
      </c>
      <c r="J66" s="735">
        <f t="shared" si="6"/>
        <v>0</v>
      </c>
      <c r="K66" s="742">
        <f t="shared" si="7"/>
        <v>0</v>
      </c>
      <c r="L66" s="737"/>
      <c r="O66" s="738"/>
      <c r="X66" s="739"/>
      <c r="Y66" s="729"/>
      <c r="Z66" s="729"/>
      <c r="AA66" s="728"/>
      <c r="AB66" s="728"/>
      <c r="AC66" s="728"/>
    </row>
    <row r="67" spans="2:29" s="730" customFormat="1" ht="12.75" x14ac:dyDescent="0.2">
      <c r="B67" s="1889" t="s">
        <v>1186</v>
      </c>
      <c r="C67" s="741"/>
      <c r="D67" s="2857"/>
      <c r="E67" s="2859"/>
      <c r="F67" s="732"/>
      <c r="G67" s="732"/>
      <c r="H67" s="733" t="str">
        <f t="shared" si="4"/>
        <v/>
      </c>
      <c r="I67" s="734" t="str">
        <f t="shared" si="5"/>
        <v/>
      </c>
      <c r="J67" s="735">
        <f t="shared" si="6"/>
        <v>0</v>
      </c>
      <c r="K67" s="742">
        <f t="shared" si="7"/>
        <v>0</v>
      </c>
      <c r="L67" s="737"/>
      <c r="O67" s="738"/>
      <c r="X67" s="739"/>
      <c r="Y67" s="729"/>
      <c r="Z67" s="729"/>
      <c r="AA67" s="728"/>
      <c r="AB67" s="728"/>
      <c r="AC67" s="728"/>
    </row>
    <row r="68" spans="2:29" s="755" customFormat="1" ht="21" customHeight="1" x14ac:dyDescent="0.2">
      <c r="B68" s="744"/>
      <c r="C68" s="745"/>
      <c r="D68" s="746"/>
      <c r="E68" s="747"/>
      <c r="F68" s="748"/>
      <c r="G68" s="749"/>
      <c r="H68" s="750"/>
      <c r="I68" s="751" t="s">
        <v>456</v>
      </c>
      <c r="J68" s="752">
        <f>SUM(J28:J67)</f>
        <v>0</v>
      </c>
      <c r="K68" s="753">
        <f>SUM(K28:K67)</f>
        <v>0</v>
      </c>
      <c r="L68" s="754"/>
      <c r="X68" s="756"/>
      <c r="Y68" s="756"/>
      <c r="Z68" s="756"/>
      <c r="AA68" s="756"/>
      <c r="AB68" s="756"/>
    </row>
    <row r="69" spans="2:29" s="676" customFormat="1" ht="21" customHeight="1" x14ac:dyDescent="0.2">
      <c r="B69" s="757"/>
      <c r="C69" s="758" t="s">
        <v>678</v>
      </c>
      <c r="D69" s="759"/>
      <c r="E69" s="760"/>
      <c r="F69" s="696" t="s">
        <v>633</v>
      </c>
      <c r="G69" s="761"/>
      <c r="H69" s="761"/>
      <c r="I69" s="761"/>
      <c r="J69" s="762"/>
      <c r="K69" s="763"/>
      <c r="L69" s="699"/>
      <c r="X69" s="684"/>
      <c r="Y69" s="684"/>
      <c r="Z69" s="684"/>
    </row>
    <row r="70" spans="2:29" ht="14.25" customHeight="1" x14ac:dyDescent="0.2">
      <c r="B70" s="700"/>
      <c r="C70" s="701" t="s">
        <v>634</v>
      </c>
      <c r="D70" s="2861" t="s">
        <v>635</v>
      </c>
      <c r="E70" s="2862"/>
      <c r="F70" s="2863"/>
      <c r="G70" s="702" t="s">
        <v>636</v>
      </c>
      <c r="H70" s="704" t="s">
        <v>449</v>
      </c>
      <c r="I70" s="705" t="s">
        <v>638</v>
      </c>
      <c r="J70" s="705" t="s">
        <v>639</v>
      </c>
      <c r="K70" s="706" t="s">
        <v>639</v>
      </c>
      <c r="L70" s="707"/>
    </row>
    <row r="71" spans="2:29" x14ac:dyDescent="0.2">
      <c r="B71" s="764"/>
      <c r="C71" s="765"/>
      <c r="D71" s="2908" t="s">
        <v>1185</v>
      </c>
      <c r="E71" s="2909"/>
      <c r="F71" s="2910"/>
      <c r="G71" s="766" t="s">
        <v>641</v>
      </c>
      <c r="H71" s="767" t="s">
        <v>643</v>
      </c>
      <c r="I71" s="713" t="s">
        <v>644</v>
      </c>
      <c r="J71" s="713" t="s">
        <v>641</v>
      </c>
      <c r="K71" s="706" t="s">
        <v>510</v>
      </c>
      <c r="L71" s="714"/>
    </row>
    <row r="72" spans="2:29" x14ac:dyDescent="0.2">
      <c r="B72" s="715"/>
      <c r="C72" s="768"/>
      <c r="D72" s="2900" t="s">
        <v>1243</v>
      </c>
      <c r="E72" s="2901"/>
      <c r="F72" s="2902"/>
      <c r="G72" s="717"/>
      <c r="H72" s="719"/>
      <c r="I72" s="720"/>
      <c r="J72" s="720"/>
      <c r="K72" s="721"/>
      <c r="L72" s="722"/>
    </row>
    <row r="73" spans="2:29" s="723" customFormat="1" x14ac:dyDescent="0.2">
      <c r="B73" s="724" t="s">
        <v>646</v>
      </c>
      <c r="C73" s="770" t="s">
        <v>647</v>
      </c>
      <c r="D73" s="2885" t="s">
        <v>1149</v>
      </c>
      <c r="E73" s="2886"/>
      <c r="F73" s="2887"/>
      <c r="G73" s="726">
        <v>30</v>
      </c>
      <c r="H73" s="726">
        <v>1</v>
      </c>
      <c r="I73" s="771">
        <f t="shared" ref="I73:I103" si="8">IF(AND(H73&lt;&gt;"",H73&lt;&gt;0),IF(H73&lt;=3,1.7*H73,(1.7*3)+((1.7*0.75)*(H73-3))),1.7)</f>
        <v>1.7</v>
      </c>
      <c r="J73" s="771">
        <f t="shared" ref="J73:J103" si="9">IF(AND(H73&lt;&gt;"",H73&lt;&gt;0),IF(X73&gt;="5",H73*G73*I73,G73*I73),0)</f>
        <v>51</v>
      </c>
      <c r="K73" s="772">
        <f t="shared" ref="K73:K103" si="10">J73/15</f>
        <v>3.4</v>
      </c>
      <c r="L73" s="727"/>
      <c r="Q73" s="728"/>
      <c r="R73" s="728"/>
      <c r="S73" s="728"/>
      <c r="T73" s="728"/>
      <c r="U73" s="728"/>
      <c r="V73" s="728"/>
      <c r="W73" s="728"/>
      <c r="X73" s="729"/>
      <c r="Y73" s="729"/>
      <c r="Z73" s="729"/>
      <c r="AA73" s="728"/>
      <c r="AB73" s="728"/>
      <c r="AC73" s="728"/>
    </row>
    <row r="74" spans="2:29" s="730" customFormat="1" ht="12.75" x14ac:dyDescent="0.2">
      <c r="B74" s="740" t="s">
        <v>648</v>
      </c>
      <c r="C74" s="1965"/>
      <c r="D74" s="2888"/>
      <c r="E74" s="2858"/>
      <c r="F74" s="2859"/>
      <c r="G74" s="732"/>
      <c r="H74" s="773" t="str">
        <f>IF(G74&lt;&gt;"",1,"")</f>
        <v/>
      </c>
      <c r="I74" s="734">
        <f t="shared" si="8"/>
        <v>1.7</v>
      </c>
      <c r="J74" s="734">
        <f t="shared" si="9"/>
        <v>0</v>
      </c>
      <c r="K74" s="774">
        <f t="shared" si="10"/>
        <v>0</v>
      </c>
      <c r="L74" s="737"/>
      <c r="X74" s="739"/>
      <c r="Y74" s="729"/>
      <c r="Z74" s="729"/>
      <c r="AA74" s="728"/>
      <c r="AB74" s="728"/>
      <c r="AC74" s="728"/>
    </row>
    <row r="75" spans="2:29" s="730" customFormat="1" ht="12.75" x14ac:dyDescent="0.2">
      <c r="B75" s="740" t="s">
        <v>649</v>
      </c>
      <c r="C75" s="741"/>
      <c r="D75" s="2857"/>
      <c r="E75" s="2858"/>
      <c r="F75" s="2859"/>
      <c r="G75" s="732"/>
      <c r="H75" s="773" t="str">
        <f t="shared" ref="H75:H93" si="11">IF(G75&lt;&gt;"",1,"")</f>
        <v/>
      </c>
      <c r="I75" s="734">
        <f t="shared" si="8"/>
        <v>1.7</v>
      </c>
      <c r="J75" s="734">
        <f t="shared" si="9"/>
        <v>0</v>
      </c>
      <c r="K75" s="774">
        <f t="shared" si="10"/>
        <v>0</v>
      </c>
      <c r="L75" s="737"/>
      <c r="X75" s="739"/>
      <c r="Y75" s="729"/>
      <c r="Z75" s="729"/>
      <c r="AA75" s="728"/>
      <c r="AB75" s="728"/>
      <c r="AC75" s="728"/>
    </row>
    <row r="76" spans="2:29" s="730" customFormat="1" ht="12.75" x14ac:dyDescent="0.2">
      <c r="B76" s="740" t="s">
        <v>650</v>
      </c>
      <c r="C76" s="741"/>
      <c r="D76" s="2857"/>
      <c r="E76" s="2858"/>
      <c r="F76" s="2859"/>
      <c r="G76" s="732"/>
      <c r="H76" s="773" t="str">
        <f t="shared" si="11"/>
        <v/>
      </c>
      <c r="I76" s="734">
        <f t="shared" si="8"/>
        <v>1.7</v>
      </c>
      <c r="J76" s="734">
        <f t="shared" si="9"/>
        <v>0</v>
      </c>
      <c r="K76" s="774">
        <f t="shared" si="10"/>
        <v>0</v>
      </c>
      <c r="L76" s="737"/>
      <c r="X76" s="739"/>
      <c r="Y76" s="729"/>
      <c r="Z76" s="729"/>
      <c r="AA76" s="728"/>
      <c r="AB76" s="728"/>
      <c r="AC76" s="728"/>
    </row>
    <row r="77" spans="2:29" s="730" customFormat="1" ht="12.75" x14ac:dyDescent="0.2">
      <c r="B77" s="740" t="s">
        <v>651</v>
      </c>
      <c r="C77" s="741"/>
      <c r="D77" s="2857"/>
      <c r="E77" s="2858"/>
      <c r="F77" s="2859"/>
      <c r="G77" s="732"/>
      <c r="H77" s="773" t="str">
        <f t="shared" si="11"/>
        <v/>
      </c>
      <c r="I77" s="734">
        <f t="shared" si="8"/>
        <v>1.7</v>
      </c>
      <c r="J77" s="734">
        <f t="shared" si="9"/>
        <v>0</v>
      </c>
      <c r="K77" s="774">
        <f t="shared" si="10"/>
        <v>0</v>
      </c>
      <c r="L77" s="743"/>
      <c r="X77" s="739"/>
      <c r="Y77" s="729"/>
      <c r="Z77" s="729"/>
      <c r="AA77" s="728"/>
      <c r="AB77" s="728"/>
      <c r="AC77" s="728"/>
    </row>
    <row r="78" spans="2:29" s="730" customFormat="1" ht="12.75" x14ac:dyDescent="0.2">
      <c r="B78" s="740" t="s">
        <v>652</v>
      </c>
      <c r="C78" s="741"/>
      <c r="D78" s="2857"/>
      <c r="E78" s="2858"/>
      <c r="F78" s="2859"/>
      <c r="G78" s="732"/>
      <c r="H78" s="773" t="str">
        <f t="shared" si="11"/>
        <v/>
      </c>
      <c r="I78" s="734">
        <f t="shared" si="8"/>
        <v>1.7</v>
      </c>
      <c r="J78" s="734">
        <f t="shared" si="9"/>
        <v>0</v>
      </c>
      <c r="K78" s="774">
        <f t="shared" si="10"/>
        <v>0</v>
      </c>
      <c r="L78" s="737"/>
      <c r="X78" s="739"/>
      <c r="Y78" s="729"/>
      <c r="Z78" s="729"/>
      <c r="AA78" s="728"/>
      <c r="AB78" s="728"/>
      <c r="AC78" s="728"/>
    </row>
    <row r="79" spans="2:29" s="730" customFormat="1" ht="12.75" x14ac:dyDescent="0.2">
      <c r="B79" s="740" t="s">
        <v>653</v>
      </c>
      <c r="C79" s="741"/>
      <c r="D79" s="2857"/>
      <c r="E79" s="2858"/>
      <c r="F79" s="2859"/>
      <c r="G79" s="732"/>
      <c r="H79" s="773" t="str">
        <f t="shared" si="11"/>
        <v/>
      </c>
      <c r="I79" s="734">
        <f t="shared" si="8"/>
        <v>1.7</v>
      </c>
      <c r="J79" s="734">
        <f t="shared" si="9"/>
        <v>0</v>
      </c>
      <c r="K79" s="774">
        <f t="shared" si="10"/>
        <v>0</v>
      </c>
      <c r="L79" s="737"/>
      <c r="X79" s="739"/>
      <c r="Y79" s="729"/>
      <c r="Z79" s="729"/>
      <c r="AA79" s="728"/>
      <c r="AB79" s="728"/>
      <c r="AC79" s="728"/>
    </row>
    <row r="80" spans="2:29" s="730" customFormat="1" ht="12.75" x14ac:dyDescent="0.2">
      <c r="B80" s="740" t="s">
        <v>654</v>
      </c>
      <c r="C80" s="741"/>
      <c r="D80" s="2857"/>
      <c r="E80" s="2858"/>
      <c r="F80" s="2859"/>
      <c r="G80" s="732"/>
      <c r="H80" s="773" t="str">
        <f t="shared" si="11"/>
        <v/>
      </c>
      <c r="I80" s="734">
        <f t="shared" si="8"/>
        <v>1.7</v>
      </c>
      <c r="J80" s="734">
        <f t="shared" si="9"/>
        <v>0</v>
      </c>
      <c r="K80" s="774">
        <f t="shared" si="10"/>
        <v>0</v>
      </c>
      <c r="L80" s="737"/>
      <c r="X80" s="739"/>
      <c r="Y80" s="729"/>
      <c r="Z80" s="729"/>
      <c r="AA80" s="728"/>
      <c r="AB80" s="728"/>
      <c r="AC80" s="728"/>
    </row>
    <row r="81" spans="2:29" s="730" customFormat="1" ht="12.75" x14ac:dyDescent="0.2">
      <c r="B81" s="740" t="s">
        <v>655</v>
      </c>
      <c r="C81" s="741"/>
      <c r="D81" s="2857"/>
      <c r="E81" s="2858"/>
      <c r="F81" s="2859"/>
      <c r="G81" s="732"/>
      <c r="H81" s="773" t="str">
        <f t="shared" si="11"/>
        <v/>
      </c>
      <c r="I81" s="734">
        <f t="shared" si="8"/>
        <v>1.7</v>
      </c>
      <c r="J81" s="734">
        <f t="shared" si="9"/>
        <v>0</v>
      </c>
      <c r="K81" s="774">
        <f t="shared" si="10"/>
        <v>0</v>
      </c>
      <c r="L81" s="737"/>
      <c r="X81" s="739"/>
      <c r="Y81" s="729"/>
      <c r="Z81" s="729"/>
      <c r="AA81" s="728"/>
      <c r="AB81" s="728"/>
      <c r="AC81" s="728"/>
    </row>
    <row r="82" spans="2:29" s="730" customFormat="1" ht="12.75" x14ac:dyDescent="0.2">
      <c r="B82" s="740" t="s">
        <v>656</v>
      </c>
      <c r="C82" s="741"/>
      <c r="D82" s="2857"/>
      <c r="E82" s="2858"/>
      <c r="F82" s="2859"/>
      <c r="G82" s="732"/>
      <c r="H82" s="773" t="str">
        <f t="shared" si="11"/>
        <v/>
      </c>
      <c r="I82" s="734">
        <f t="shared" si="8"/>
        <v>1.7</v>
      </c>
      <c r="J82" s="734">
        <f t="shared" si="9"/>
        <v>0</v>
      </c>
      <c r="K82" s="774">
        <f t="shared" si="10"/>
        <v>0</v>
      </c>
      <c r="L82" s="737"/>
      <c r="X82" s="739"/>
      <c r="Y82" s="729"/>
      <c r="Z82" s="729"/>
      <c r="AA82" s="728"/>
      <c r="AB82" s="728"/>
      <c r="AC82" s="728"/>
    </row>
    <row r="83" spans="2:29" s="730" customFormat="1" ht="12.75" x14ac:dyDescent="0.2">
      <c r="B83" s="740" t="s">
        <v>657</v>
      </c>
      <c r="C83" s="741"/>
      <c r="D83" s="2857"/>
      <c r="E83" s="2858"/>
      <c r="F83" s="2859"/>
      <c r="G83" s="732"/>
      <c r="H83" s="773" t="str">
        <f t="shared" si="11"/>
        <v/>
      </c>
      <c r="I83" s="734">
        <f t="shared" si="8"/>
        <v>1.7</v>
      </c>
      <c r="J83" s="734">
        <f t="shared" si="9"/>
        <v>0</v>
      </c>
      <c r="K83" s="774">
        <f t="shared" si="10"/>
        <v>0</v>
      </c>
      <c r="L83" s="737"/>
      <c r="X83" s="739"/>
      <c r="Y83" s="729"/>
      <c r="Z83" s="729"/>
      <c r="AA83" s="728"/>
      <c r="AB83" s="728"/>
      <c r="AC83" s="728"/>
    </row>
    <row r="84" spans="2:29" s="730" customFormat="1" ht="12.75" x14ac:dyDescent="0.2">
      <c r="B84" s="740" t="s">
        <v>658</v>
      </c>
      <c r="C84" s="741"/>
      <c r="D84" s="2857"/>
      <c r="E84" s="2858"/>
      <c r="F84" s="2859"/>
      <c r="G84" s="732"/>
      <c r="H84" s="773" t="str">
        <f>IF(G84&lt;&gt;"",1,"")</f>
        <v/>
      </c>
      <c r="I84" s="734">
        <f t="shared" si="8"/>
        <v>1.7</v>
      </c>
      <c r="J84" s="734">
        <f t="shared" si="9"/>
        <v>0</v>
      </c>
      <c r="K84" s="774">
        <f t="shared" si="10"/>
        <v>0</v>
      </c>
      <c r="L84" s="737"/>
      <c r="X84" s="739"/>
      <c r="Y84" s="729"/>
      <c r="Z84" s="729"/>
      <c r="AA84" s="728"/>
      <c r="AB84" s="728"/>
      <c r="AC84" s="728"/>
    </row>
    <row r="85" spans="2:29" s="730" customFormat="1" ht="12.75" x14ac:dyDescent="0.2">
      <c r="B85" s="740" t="s">
        <v>659</v>
      </c>
      <c r="C85" s="741"/>
      <c r="D85" s="2857"/>
      <c r="E85" s="2858"/>
      <c r="F85" s="2859"/>
      <c r="G85" s="732"/>
      <c r="H85" s="773" t="str">
        <f t="shared" si="11"/>
        <v/>
      </c>
      <c r="I85" s="734">
        <f t="shared" si="8"/>
        <v>1.7</v>
      </c>
      <c r="J85" s="734">
        <f t="shared" si="9"/>
        <v>0</v>
      </c>
      <c r="K85" s="774">
        <f t="shared" si="10"/>
        <v>0</v>
      </c>
      <c r="L85" s="737"/>
      <c r="X85" s="739"/>
      <c r="Y85" s="729"/>
      <c r="Z85" s="729"/>
      <c r="AA85" s="728"/>
      <c r="AB85" s="728"/>
      <c r="AC85" s="728"/>
    </row>
    <row r="86" spans="2:29" s="730" customFormat="1" ht="12.75" x14ac:dyDescent="0.2">
      <c r="B86" s="740" t="s">
        <v>660</v>
      </c>
      <c r="C86" s="741"/>
      <c r="D86" s="2888"/>
      <c r="E86" s="2858"/>
      <c r="F86" s="2859"/>
      <c r="G86" s="732"/>
      <c r="H86" s="773" t="str">
        <f t="shared" si="11"/>
        <v/>
      </c>
      <c r="I86" s="734">
        <f t="shared" si="8"/>
        <v>1.7</v>
      </c>
      <c r="J86" s="734">
        <f t="shared" si="9"/>
        <v>0</v>
      </c>
      <c r="K86" s="774">
        <f t="shared" si="10"/>
        <v>0</v>
      </c>
      <c r="L86" s="737"/>
      <c r="X86" s="739"/>
      <c r="Y86" s="729"/>
      <c r="Z86" s="729"/>
      <c r="AA86" s="728"/>
      <c r="AB86" s="728"/>
      <c r="AC86" s="728"/>
    </row>
    <row r="87" spans="2:29" s="730" customFormat="1" ht="12.75" x14ac:dyDescent="0.2">
      <c r="B87" s="740" t="s">
        <v>661</v>
      </c>
      <c r="C87" s="741"/>
      <c r="D87" s="2857"/>
      <c r="E87" s="2858"/>
      <c r="F87" s="2859"/>
      <c r="G87" s="732"/>
      <c r="H87" s="773" t="str">
        <f t="shared" si="11"/>
        <v/>
      </c>
      <c r="I87" s="734">
        <f t="shared" si="8"/>
        <v>1.7</v>
      </c>
      <c r="J87" s="734">
        <f t="shared" si="9"/>
        <v>0</v>
      </c>
      <c r="K87" s="774">
        <f t="shared" si="10"/>
        <v>0</v>
      </c>
      <c r="L87" s="743"/>
      <c r="X87" s="739"/>
      <c r="Y87" s="729"/>
      <c r="Z87" s="729"/>
      <c r="AA87" s="728"/>
      <c r="AB87" s="728"/>
      <c r="AC87" s="728"/>
    </row>
    <row r="88" spans="2:29" s="730" customFormat="1" ht="12.75" x14ac:dyDescent="0.2">
      <c r="B88" s="740" t="s">
        <v>662</v>
      </c>
      <c r="C88" s="741"/>
      <c r="D88" s="2857"/>
      <c r="E88" s="2858"/>
      <c r="F88" s="2859"/>
      <c r="G88" s="732"/>
      <c r="H88" s="773" t="str">
        <f t="shared" si="11"/>
        <v/>
      </c>
      <c r="I88" s="734">
        <f t="shared" si="8"/>
        <v>1.7</v>
      </c>
      <c r="J88" s="734">
        <f t="shared" si="9"/>
        <v>0</v>
      </c>
      <c r="K88" s="774">
        <f t="shared" si="10"/>
        <v>0</v>
      </c>
      <c r="L88" s="737"/>
      <c r="X88" s="739"/>
      <c r="Y88" s="729"/>
      <c r="Z88" s="729"/>
      <c r="AA88" s="728"/>
      <c r="AB88" s="728"/>
      <c r="AC88" s="728"/>
    </row>
    <row r="89" spans="2:29" s="730" customFormat="1" ht="12.75" x14ac:dyDescent="0.2">
      <c r="B89" s="740" t="s">
        <v>663</v>
      </c>
      <c r="C89" s="741"/>
      <c r="D89" s="2857"/>
      <c r="E89" s="2858"/>
      <c r="F89" s="2859"/>
      <c r="G89" s="732"/>
      <c r="H89" s="773" t="str">
        <f t="shared" si="11"/>
        <v/>
      </c>
      <c r="I89" s="734">
        <f t="shared" si="8"/>
        <v>1.7</v>
      </c>
      <c r="J89" s="734">
        <f t="shared" si="9"/>
        <v>0</v>
      </c>
      <c r="K89" s="774">
        <f t="shared" si="10"/>
        <v>0</v>
      </c>
      <c r="L89" s="737"/>
      <c r="X89" s="739"/>
      <c r="Y89" s="729"/>
      <c r="Z89" s="729"/>
      <c r="AA89" s="728"/>
      <c r="AB89" s="728"/>
      <c r="AC89" s="728"/>
    </row>
    <row r="90" spans="2:29" s="730" customFormat="1" ht="12.75" x14ac:dyDescent="0.2">
      <c r="B90" s="740" t="s">
        <v>664</v>
      </c>
      <c r="C90" s="741"/>
      <c r="D90" s="2857"/>
      <c r="E90" s="2858"/>
      <c r="F90" s="2859"/>
      <c r="G90" s="732"/>
      <c r="H90" s="773" t="str">
        <f t="shared" si="11"/>
        <v/>
      </c>
      <c r="I90" s="734">
        <f t="shared" si="8"/>
        <v>1.7</v>
      </c>
      <c r="J90" s="734">
        <f t="shared" si="9"/>
        <v>0</v>
      </c>
      <c r="K90" s="774">
        <f t="shared" si="10"/>
        <v>0</v>
      </c>
      <c r="L90" s="737"/>
      <c r="X90" s="739"/>
      <c r="Y90" s="729"/>
      <c r="Z90" s="729"/>
      <c r="AA90" s="728"/>
      <c r="AB90" s="728"/>
      <c r="AC90" s="728"/>
    </row>
    <row r="91" spans="2:29" s="730" customFormat="1" ht="12.75" x14ac:dyDescent="0.2">
      <c r="B91" s="740" t="s">
        <v>665</v>
      </c>
      <c r="C91" s="741"/>
      <c r="D91" s="2857"/>
      <c r="E91" s="2858"/>
      <c r="F91" s="2859"/>
      <c r="G91" s="732"/>
      <c r="H91" s="773" t="str">
        <f t="shared" si="11"/>
        <v/>
      </c>
      <c r="I91" s="734">
        <f t="shared" si="8"/>
        <v>1.7</v>
      </c>
      <c r="J91" s="734">
        <f t="shared" si="9"/>
        <v>0</v>
      </c>
      <c r="K91" s="774">
        <f t="shared" si="10"/>
        <v>0</v>
      </c>
      <c r="L91" s="737"/>
      <c r="X91" s="739"/>
      <c r="Y91" s="729"/>
      <c r="Z91" s="729"/>
      <c r="AA91" s="728"/>
      <c r="AB91" s="728"/>
      <c r="AC91" s="728"/>
    </row>
    <row r="92" spans="2:29" s="730" customFormat="1" ht="12.75" x14ac:dyDescent="0.2">
      <c r="B92" s="740" t="s">
        <v>666</v>
      </c>
      <c r="C92" s="741"/>
      <c r="D92" s="2857"/>
      <c r="E92" s="2858"/>
      <c r="F92" s="2859"/>
      <c r="G92" s="732"/>
      <c r="H92" s="773" t="str">
        <f t="shared" si="11"/>
        <v/>
      </c>
      <c r="I92" s="734">
        <f t="shared" si="8"/>
        <v>1.7</v>
      </c>
      <c r="J92" s="734">
        <f t="shared" si="9"/>
        <v>0</v>
      </c>
      <c r="K92" s="774">
        <f t="shared" si="10"/>
        <v>0</v>
      </c>
      <c r="L92" s="737"/>
      <c r="X92" s="739"/>
      <c r="Y92" s="729"/>
      <c r="Z92" s="729"/>
      <c r="AA92" s="728"/>
      <c r="AB92" s="728"/>
      <c r="AC92" s="728"/>
    </row>
    <row r="93" spans="2:29" s="730" customFormat="1" ht="12.75" x14ac:dyDescent="0.2">
      <c r="B93" s="740" t="s">
        <v>667</v>
      </c>
      <c r="C93" s="741"/>
      <c r="D93" s="2857"/>
      <c r="E93" s="2858"/>
      <c r="F93" s="2859"/>
      <c r="G93" s="732"/>
      <c r="H93" s="773" t="str">
        <f t="shared" si="11"/>
        <v/>
      </c>
      <c r="I93" s="734">
        <f t="shared" si="8"/>
        <v>1.7</v>
      </c>
      <c r="J93" s="734">
        <f t="shared" si="9"/>
        <v>0</v>
      </c>
      <c r="K93" s="774">
        <f t="shared" si="10"/>
        <v>0</v>
      </c>
      <c r="L93" s="737"/>
      <c r="X93" s="739"/>
      <c r="Y93" s="729"/>
      <c r="Z93" s="729"/>
      <c r="AA93" s="728"/>
      <c r="AB93" s="728"/>
      <c r="AC93" s="728"/>
    </row>
    <row r="94" spans="2:29" s="730" customFormat="1" ht="12.75" x14ac:dyDescent="0.2">
      <c r="B94" s="740" t="s">
        <v>668</v>
      </c>
      <c r="C94" s="741"/>
      <c r="D94" s="2857"/>
      <c r="E94" s="2858"/>
      <c r="F94" s="2859"/>
      <c r="G94" s="732"/>
      <c r="H94" s="773" t="str">
        <f>IF(G94&lt;&gt;"",1,"")</f>
        <v/>
      </c>
      <c r="I94" s="734">
        <f t="shared" si="8"/>
        <v>1.7</v>
      </c>
      <c r="J94" s="734">
        <f t="shared" si="9"/>
        <v>0</v>
      </c>
      <c r="K94" s="774">
        <f t="shared" si="10"/>
        <v>0</v>
      </c>
      <c r="L94" s="737"/>
      <c r="X94" s="739"/>
      <c r="Y94" s="729"/>
      <c r="Z94" s="729"/>
      <c r="AA94" s="728"/>
      <c r="AB94" s="728"/>
      <c r="AC94" s="728"/>
    </row>
    <row r="95" spans="2:29" s="730" customFormat="1" ht="12.75" x14ac:dyDescent="0.2">
      <c r="B95" s="740" t="s">
        <v>669</v>
      </c>
      <c r="C95" s="741"/>
      <c r="D95" s="2857"/>
      <c r="E95" s="2858"/>
      <c r="F95" s="2859"/>
      <c r="G95" s="732"/>
      <c r="H95" s="773" t="str">
        <f t="shared" ref="H95:H103" si="12">IF(G95&lt;&gt;"",1,"")</f>
        <v/>
      </c>
      <c r="I95" s="734">
        <f t="shared" si="8"/>
        <v>1.7</v>
      </c>
      <c r="J95" s="734">
        <f t="shared" si="9"/>
        <v>0</v>
      </c>
      <c r="K95" s="774">
        <f t="shared" si="10"/>
        <v>0</v>
      </c>
      <c r="L95" s="737"/>
      <c r="X95" s="739"/>
      <c r="Y95" s="729"/>
      <c r="Z95" s="729"/>
      <c r="AA95" s="728"/>
      <c r="AB95" s="728"/>
      <c r="AC95" s="728"/>
    </row>
    <row r="96" spans="2:29" s="730" customFormat="1" ht="12.75" x14ac:dyDescent="0.2">
      <c r="B96" s="1955" t="s">
        <v>670</v>
      </c>
      <c r="C96" s="1942"/>
      <c r="D96" s="2895"/>
      <c r="E96" s="2911"/>
      <c r="F96" s="2896"/>
      <c r="G96" s="1942"/>
      <c r="H96" s="1943" t="str">
        <f t="shared" si="12"/>
        <v/>
      </c>
      <c r="I96" s="1944">
        <f t="shared" si="8"/>
        <v>1.7</v>
      </c>
      <c r="J96" s="1944">
        <f t="shared" si="9"/>
        <v>0</v>
      </c>
      <c r="K96" s="1956">
        <f t="shared" si="10"/>
        <v>0</v>
      </c>
      <c r="L96" s="737"/>
      <c r="X96" s="739"/>
      <c r="Y96" s="729"/>
      <c r="Z96" s="729"/>
      <c r="AA96" s="728"/>
      <c r="AB96" s="728"/>
      <c r="AC96" s="728"/>
    </row>
    <row r="97" spans="2:29" s="730" customFormat="1" ht="12.75" x14ac:dyDescent="0.2">
      <c r="B97" s="1953" t="s">
        <v>671</v>
      </c>
      <c r="C97" s="1948"/>
      <c r="D97" s="2897"/>
      <c r="E97" s="2898"/>
      <c r="F97" s="2899"/>
      <c r="G97" s="1948"/>
      <c r="H97" s="1949" t="str">
        <f t="shared" si="12"/>
        <v/>
      </c>
      <c r="I97" s="1950">
        <f t="shared" si="8"/>
        <v>1.7</v>
      </c>
      <c r="J97" s="1950">
        <f t="shared" si="9"/>
        <v>0</v>
      </c>
      <c r="K97" s="1954">
        <f t="shared" si="10"/>
        <v>0</v>
      </c>
      <c r="L97" s="743"/>
      <c r="X97" s="739"/>
      <c r="Y97" s="729"/>
      <c r="Z97" s="729"/>
      <c r="AA97" s="728"/>
      <c r="AB97" s="728"/>
      <c r="AC97" s="728"/>
    </row>
    <row r="98" spans="2:29" s="730" customFormat="1" ht="12.75" x14ac:dyDescent="0.2">
      <c r="B98" s="740" t="s">
        <v>672</v>
      </c>
      <c r="C98" s="741"/>
      <c r="D98" s="2857"/>
      <c r="E98" s="2858"/>
      <c r="F98" s="2859"/>
      <c r="G98" s="732"/>
      <c r="H98" s="773" t="str">
        <f t="shared" si="12"/>
        <v/>
      </c>
      <c r="I98" s="734">
        <f t="shared" si="8"/>
        <v>1.7</v>
      </c>
      <c r="J98" s="734">
        <f t="shared" si="9"/>
        <v>0</v>
      </c>
      <c r="K98" s="774">
        <f t="shared" si="10"/>
        <v>0</v>
      </c>
      <c r="L98" s="737"/>
      <c r="X98" s="739"/>
      <c r="Y98" s="729"/>
      <c r="Z98" s="729"/>
      <c r="AA98" s="728"/>
      <c r="AB98" s="728"/>
      <c r="AC98" s="728"/>
    </row>
    <row r="99" spans="2:29" s="730" customFormat="1" ht="12.75" x14ac:dyDescent="0.2">
      <c r="B99" s="740" t="s">
        <v>673</v>
      </c>
      <c r="C99" s="741"/>
      <c r="D99" s="2857"/>
      <c r="E99" s="2858"/>
      <c r="F99" s="2859"/>
      <c r="G99" s="732"/>
      <c r="H99" s="773" t="str">
        <f t="shared" si="12"/>
        <v/>
      </c>
      <c r="I99" s="734">
        <f t="shared" si="8"/>
        <v>1.7</v>
      </c>
      <c r="J99" s="734">
        <f t="shared" si="9"/>
        <v>0</v>
      </c>
      <c r="K99" s="774">
        <f t="shared" si="10"/>
        <v>0</v>
      </c>
      <c r="L99" s="737"/>
      <c r="X99" s="739"/>
      <c r="Y99" s="729"/>
      <c r="Z99" s="729"/>
      <c r="AA99" s="728"/>
      <c r="AB99" s="728"/>
      <c r="AC99" s="728"/>
    </row>
    <row r="100" spans="2:29" s="730" customFormat="1" ht="12.75" x14ac:dyDescent="0.2">
      <c r="B100" s="740" t="s">
        <v>674</v>
      </c>
      <c r="C100" s="741"/>
      <c r="D100" s="2857"/>
      <c r="E100" s="2858"/>
      <c r="F100" s="2859"/>
      <c r="G100" s="732"/>
      <c r="H100" s="773" t="str">
        <f t="shared" si="12"/>
        <v/>
      </c>
      <c r="I100" s="734">
        <f t="shared" si="8"/>
        <v>1.7</v>
      </c>
      <c r="J100" s="734">
        <f t="shared" si="9"/>
        <v>0</v>
      </c>
      <c r="K100" s="774">
        <f t="shared" si="10"/>
        <v>0</v>
      </c>
      <c r="L100" s="737"/>
      <c r="X100" s="739"/>
      <c r="Y100" s="729"/>
      <c r="Z100" s="729"/>
      <c r="AA100" s="728"/>
      <c r="AB100" s="728"/>
      <c r="AC100" s="728"/>
    </row>
    <row r="101" spans="2:29" s="730" customFormat="1" ht="12.75" x14ac:dyDescent="0.2">
      <c r="B101" s="740" t="s">
        <v>675</v>
      </c>
      <c r="C101" s="741"/>
      <c r="D101" s="2857"/>
      <c r="E101" s="2858"/>
      <c r="F101" s="2859"/>
      <c r="G101" s="732"/>
      <c r="H101" s="773" t="str">
        <f t="shared" si="12"/>
        <v/>
      </c>
      <c r="I101" s="734">
        <f t="shared" si="8"/>
        <v>1.7</v>
      </c>
      <c r="J101" s="734">
        <f t="shared" si="9"/>
        <v>0</v>
      </c>
      <c r="K101" s="774">
        <f t="shared" si="10"/>
        <v>0</v>
      </c>
      <c r="L101" s="737"/>
      <c r="X101" s="739"/>
      <c r="Y101" s="729"/>
      <c r="Z101" s="729"/>
      <c r="AA101" s="728"/>
      <c r="AB101" s="728"/>
      <c r="AC101" s="728"/>
    </row>
    <row r="102" spans="2:29" s="730" customFormat="1" ht="12.75" x14ac:dyDescent="0.2">
      <c r="B102" s="740" t="s">
        <v>676</v>
      </c>
      <c r="C102" s="741"/>
      <c r="D102" s="2857"/>
      <c r="E102" s="2858"/>
      <c r="F102" s="2859"/>
      <c r="G102" s="732"/>
      <c r="H102" s="773" t="str">
        <f t="shared" si="12"/>
        <v/>
      </c>
      <c r="I102" s="734">
        <f t="shared" si="8"/>
        <v>1.7</v>
      </c>
      <c r="J102" s="734">
        <f t="shared" si="9"/>
        <v>0</v>
      </c>
      <c r="K102" s="774">
        <f t="shared" si="10"/>
        <v>0</v>
      </c>
      <c r="L102" s="737"/>
      <c r="X102" s="739"/>
      <c r="Y102" s="729"/>
      <c r="Z102" s="729"/>
      <c r="AA102" s="728"/>
      <c r="AB102" s="728"/>
      <c r="AC102" s="728"/>
    </row>
    <row r="103" spans="2:29" s="730" customFormat="1" ht="12.75" x14ac:dyDescent="0.2">
      <c r="B103" s="740" t="s">
        <v>677</v>
      </c>
      <c r="C103" s="741"/>
      <c r="D103" s="2888"/>
      <c r="E103" s="2858"/>
      <c r="F103" s="2859"/>
      <c r="G103" s="732"/>
      <c r="H103" s="773" t="str">
        <f t="shared" si="12"/>
        <v/>
      </c>
      <c r="I103" s="734">
        <f t="shared" si="8"/>
        <v>1.7</v>
      </c>
      <c r="J103" s="734">
        <f t="shared" si="9"/>
        <v>0</v>
      </c>
      <c r="K103" s="774">
        <f t="shared" si="10"/>
        <v>0</v>
      </c>
      <c r="L103" s="737"/>
      <c r="X103" s="739"/>
      <c r="Y103" s="729"/>
      <c r="Z103" s="729"/>
      <c r="AA103" s="728"/>
      <c r="AB103" s="728"/>
      <c r="AC103" s="728"/>
    </row>
    <row r="104" spans="2:29" s="730" customFormat="1" ht="21" customHeight="1" x14ac:dyDescent="0.2">
      <c r="B104" s="775"/>
      <c r="C104" s="776"/>
      <c r="D104" s="777"/>
      <c r="E104" s="778"/>
      <c r="F104" s="779"/>
      <c r="G104" s="780"/>
      <c r="H104" s="779"/>
      <c r="I104" s="781" t="s">
        <v>456</v>
      </c>
      <c r="J104" s="782">
        <f>SUM(J74:J103)</f>
        <v>0</v>
      </c>
      <c r="K104" s="783">
        <f>SUM(K74:K103)</f>
        <v>0</v>
      </c>
      <c r="L104" s="754"/>
      <c r="X104" s="784"/>
      <c r="Y104" s="784"/>
      <c r="Z104" s="784"/>
    </row>
    <row r="105" spans="2:29" ht="21" customHeight="1" x14ac:dyDescent="0.2">
      <c r="B105" s="785"/>
      <c r="C105" s="693" t="s">
        <v>679</v>
      </c>
      <c r="D105" s="786"/>
      <c r="E105" s="695"/>
      <c r="F105" s="787"/>
      <c r="G105" s="696" t="s">
        <v>633</v>
      </c>
      <c r="H105" s="788"/>
      <c r="I105" s="787"/>
      <c r="J105" s="789"/>
      <c r="K105" s="763"/>
      <c r="L105" s="699"/>
    </row>
    <row r="106" spans="2:29" ht="14.25" customHeight="1" x14ac:dyDescent="0.2">
      <c r="B106" s="700"/>
      <c r="C106" s="701" t="s">
        <v>634</v>
      </c>
      <c r="D106" s="2875" t="s">
        <v>635</v>
      </c>
      <c r="E106" s="2876"/>
      <c r="F106" s="701" t="s">
        <v>449</v>
      </c>
      <c r="G106" s="702" t="s">
        <v>636</v>
      </c>
      <c r="H106" s="704" t="s">
        <v>449</v>
      </c>
      <c r="I106" s="705" t="s">
        <v>638</v>
      </c>
      <c r="J106" s="705" t="s">
        <v>639</v>
      </c>
      <c r="K106" s="706" t="s">
        <v>639</v>
      </c>
      <c r="L106" s="707"/>
    </row>
    <row r="107" spans="2:29" ht="14.25" customHeight="1" x14ac:dyDescent="0.2">
      <c r="B107" s="708"/>
      <c r="C107" s="709"/>
      <c r="D107" s="2871" t="s">
        <v>1185</v>
      </c>
      <c r="E107" s="2872"/>
      <c r="F107" s="709" t="s">
        <v>640</v>
      </c>
      <c r="G107" s="710" t="s">
        <v>641</v>
      </c>
      <c r="H107" s="712" t="s">
        <v>643</v>
      </c>
      <c r="I107" s="713" t="s">
        <v>644</v>
      </c>
      <c r="J107" s="713" t="s">
        <v>641</v>
      </c>
      <c r="K107" s="706" t="s">
        <v>510</v>
      </c>
      <c r="L107" s="714"/>
    </row>
    <row r="108" spans="2:29" x14ac:dyDescent="0.2">
      <c r="B108" s="715"/>
      <c r="C108" s="716"/>
      <c r="D108" s="2877" t="s">
        <v>1243</v>
      </c>
      <c r="E108" s="2878"/>
      <c r="F108" s="716"/>
      <c r="G108" s="717"/>
      <c r="H108" s="719"/>
      <c r="I108" s="720"/>
      <c r="J108" s="720"/>
      <c r="K108" s="721"/>
      <c r="L108" s="722"/>
    </row>
    <row r="109" spans="2:29" s="723" customFormat="1" x14ac:dyDescent="0.2">
      <c r="B109" s="724" t="s">
        <v>646</v>
      </c>
      <c r="C109" s="725" t="s">
        <v>680</v>
      </c>
      <c r="D109" s="2903" t="s">
        <v>1187</v>
      </c>
      <c r="E109" s="2905"/>
      <c r="F109" s="725">
        <v>150</v>
      </c>
      <c r="G109" s="726">
        <v>30</v>
      </c>
      <c r="H109" s="726">
        <v>1</v>
      </c>
      <c r="I109" s="725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771">
        <f>IF(AND(F109&lt;&gt;"",F109&lt;&gt;0),IF(AND(G109&lt;&gt;"",G109&lt;&gt;0),G109*I109,0),0)</f>
        <v>157.5</v>
      </c>
      <c r="K109" s="772">
        <f t="shared" ref="K109:K139" si="14">J109/15</f>
        <v>10.5</v>
      </c>
      <c r="L109" s="727"/>
      <c r="P109" s="728"/>
      <c r="Q109" s="728"/>
      <c r="R109" s="728"/>
      <c r="S109" s="728"/>
      <c r="T109" s="728"/>
      <c r="U109" s="728"/>
      <c r="V109" s="728"/>
      <c r="W109" s="728"/>
      <c r="X109" s="729"/>
      <c r="Y109" s="729"/>
      <c r="Z109" s="729"/>
      <c r="AA109" s="728"/>
      <c r="AB109" s="728"/>
      <c r="AC109" s="728"/>
    </row>
    <row r="110" spans="2:29" s="730" customFormat="1" ht="12.75" x14ac:dyDescent="0.2">
      <c r="B110" s="740" t="s">
        <v>648</v>
      </c>
      <c r="C110" s="1965" t="s">
        <v>1273</v>
      </c>
      <c r="D110" s="2888" t="s">
        <v>1274</v>
      </c>
      <c r="E110" s="2859"/>
      <c r="F110" s="732">
        <v>80</v>
      </c>
      <c r="G110" s="732">
        <v>8</v>
      </c>
      <c r="H110" s="773">
        <f t="shared" ref="H110:H139" si="15">IF(F110&lt;&gt;"",1,"")</f>
        <v>1</v>
      </c>
      <c r="I110" s="790" t="str">
        <f t="shared" si="13"/>
        <v>3.75</v>
      </c>
      <c r="J110" s="734">
        <f>IF(AND(F110&lt;&gt;"",F110&lt;&gt;0),IF(AND(G110&lt;&gt;"",G110&lt;&gt;0),G110*I110,0),0)</f>
        <v>30</v>
      </c>
      <c r="K110" s="774">
        <f t="shared" si="14"/>
        <v>2</v>
      </c>
      <c r="L110" s="737"/>
      <c r="X110" s="739"/>
      <c r="Y110" s="729"/>
      <c r="Z110" s="729"/>
      <c r="AA110" s="728"/>
      <c r="AB110" s="728"/>
      <c r="AC110" s="728"/>
    </row>
    <row r="111" spans="2:29" s="730" customFormat="1" ht="12.75" x14ac:dyDescent="0.2">
      <c r="B111" s="740" t="s">
        <v>649</v>
      </c>
      <c r="C111" s="1965" t="s">
        <v>1273</v>
      </c>
      <c r="D111" s="2888" t="s">
        <v>1275</v>
      </c>
      <c r="E111" s="2859"/>
      <c r="F111" s="732">
        <v>3</v>
      </c>
      <c r="G111" s="732">
        <v>8</v>
      </c>
      <c r="H111" s="773">
        <f t="shared" si="15"/>
        <v>1</v>
      </c>
      <c r="I111" s="790" t="str">
        <f t="shared" si="13"/>
        <v>3</v>
      </c>
      <c r="J111" s="734">
        <f t="shared" ref="J111:J139" si="16">IF(AND(F111&lt;&gt;"",F111&lt;&gt;0),IF(AND(G111&lt;&gt;"",G111&lt;&gt;0),G111*I111,0),0)</f>
        <v>24</v>
      </c>
      <c r="K111" s="774">
        <f t="shared" si="14"/>
        <v>1.6</v>
      </c>
      <c r="L111" s="737"/>
      <c r="X111" s="739"/>
      <c r="Y111" s="729"/>
      <c r="Z111" s="729"/>
      <c r="AA111" s="728"/>
      <c r="AB111" s="728"/>
      <c r="AC111" s="728"/>
    </row>
    <row r="112" spans="2:29" s="730" customFormat="1" ht="12.75" x14ac:dyDescent="0.2">
      <c r="B112" s="740" t="s">
        <v>650</v>
      </c>
      <c r="C112" s="1965" t="s">
        <v>1276</v>
      </c>
      <c r="D112" s="2888" t="s">
        <v>1277</v>
      </c>
      <c r="E112" s="2859"/>
      <c r="F112" s="732">
        <v>66</v>
      </c>
      <c r="G112" s="732">
        <v>45</v>
      </c>
      <c r="H112" s="773">
        <f t="shared" si="15"/>
        <v>1</v>
      </c>
      <c r="I112" s="790" t="str">
        <f t="shared" si="13"/>
        <v>3.75</v>
      </c>
      <c r="J112" s="734">
        <f t="shared" si="16"/>
        <v>168.75</v>
      </c>
      <c r="K112" s="774">
        <f t="shared" si="14"/>
        <v>11.25</v>
      </c>
      <c r="L112" s="737"/>
      <c r="X112" s="739"/>
      <c r="Y112" s="729"/>
      <c r="Z112" s="729"/>
      <c r="AA112" s="728"/>
      <c r="AB112" s="728"/>
      <c r="AC112" s="728"/>
    </row>
    <row r="113" spans="2:29" s="730" customFormat="1" ht="12.75" x14ac:dyDescent="0.2">
      <c r="B113" s="740" t="s">
        <v>651</v>
      </c>
      <c r="C113" s="1965" t="s">
        <v>1286</v>
      </c>
      <c r="D113" s="2888" t="s">
        <v>1287</v>
      </c>
      <c r="E113" s="2859"/>
      <c r="F113" s="732">
        <v>74</v>
      </c>
      <c r="G113" s="732">
        <v>2</v>
      </c>
      <c r="H113" s="773">
        <f t="shared" si="15"/>
        <v>1</v>
      </c>
      <c r="I113" s="790" t="str">
        <f t="shared" si="13"/>
        <v>3.75</v>
      </c>
      <c r="J113" s="734">
        <f t="shared" si="16"/>
        <v>7.5</v>
      </c>
      <c r="K113" s="774">
        <f t="shared" si="14"/>
        <v>0.5</v>
      </c>
      <c r="L113" s="743"/>
      <c r="X113" s="739"/>
      <c r="Y113" s="729"/>
      <c r="Z113" s="729"/>
      <c r="AA113" s="728"/>
      <c r="AB113" s="728"/>
      <c r="AC113" s="728"/>
    </row>
    <row r="114" spans="2:29" s="730" customFormat="1" ht="12.75" x14ac:dyDescent="0.2">
      <c r="B114" s="740" t="s">
        <v>652</v>
      </c>
      <c r="C114" s="1965" t="s">
        <v>1286</v>
      </c>
      <c r="D114" s="2888" t="s">
        <v>1288</v>
      </c>
      <c r="E114" s="2859"/>
      <c r="F114" s="732">
        <v>51</v>
      </c>
      <c r="G114" s="732">
        <v>2</v>
      </c>
      <c r="H114" s="773">
        <f t="shared" si="15"/>
        <v>1</v>
      </c>
      <c r="I114" s="790" t="str">
        <f t="shared" si="13"/>
        <v>3</v>
      </c>
      <c r="J114" s="734">
        <f t="shared" si="16"/>
        <v>6</v>
      </c>
      <c r="K114" s="774">
        <f t="shared" si="14"/>
        <v>0.4</v>
      </c>
      <c r="L114" s="737"/>
      <c r="X114" s="739"/>
      <c r="Y114" s="729"/>
      <c r="Z114" s="729"/>
      <c r="AA114" s="728"/>
      <c r="AB114" s="728"/>
      <c r="AC114" s="728"/>
    </row>
    <row r="115" spans="2:29" s="730" customFormat="1" ht="12.75" x14ac:dyDescent="0.2">
      <c r="B115" s="740" t="s">
        <v>653</v>
      </c>
      <c r="C115" s="1965" t="s">
        <v>1276</v>
      </c>
      <c r="D115" s="2888" t="s">
        <v>1289</v>
      </c>
      <c r="E115" s="2859"/>
      <c r="F115" s="732">
        <v>13</v>
      </c>
      <c r="G115" s="732">
        <v>27</v>
      </c>
      <c r="H115" s="773">
        <f t="shared" si="15"/>
        <v>1</v>
      </c>
      <c r="I115" s="790" t="str">
        <f t="shared" si="13"/>
        <v>3</v>
      </c>
      <c r="J115" s="734">
        <f t="shared" si="16"/>
        <v>81</v>
      </c>
      <c r="K115" s="774">
        <f t="shared" si="14"/>
        <v>5.4</v>
      </c>
      <c r="L115" s="737"/>
      <c r="X115" s="739"/>
      <c r="Y115" s="729"/>
      <c r="Z115" s="729"/>
      <c r="AA115" s="728"/>
      <c r="AB115" s="728"/>
      <c r="AC115" s="728"/>
    </row>
    <row r="116" spans="2:29" s="730" customFormat="1" ht="12.75" x14ac:dyDescent="0.2">
      <c r="B116" s="740" t="s">
        <v>654</v>
      </c>
      <c r="C116" s="1965"/>
      <c r="D116" s="2888"/>
      <c r="E116" s="2859"/>
      <c r="F116" s="732"/>
      <c r="G116" s="732"/>
      <c r="H116" s="773" t="str">
        <f t="shared" si="15"/>
        <v/>
      </c>
      <c r="I116" s="790" t="str">
        <f t="shared" si="13"/>
        <v/>
      </c>
      <c r="J116" s="734">
        <f t="shared" si="16"/>
        <v>0</v>
      </c>
      <c r="K116" s="774">
        <f t="shared" si="14"/>
        <v>0</v>
      </c>
      <c r="L116" s="737"/>
      <c r="X116" s="739"/>
      <c r="Y116" s="729"/>
      <c r="Z116" s="729"/>
      <c r="AA116" s="728"/>
      <c r="AB116" s="728"/>
      <c r="AC116" s="728"/>
    </row>
    <row r="117" spans="2:29" s="730" customFormat="1" ht="12.75" x14ac:dyDescent="0.2">
      <c r="B117" s="740" t="s">
        <v>655</v>
      </c>
      <c r="C117" s="741"/>
      <c r="D117" s="2857"/>
      <c r="E117" s="2859"/>
      <c r="F117" s="732"/>
      <c r="G117" s="732"/>
      <c r="H117" s="773" t="str">
        <f t="shared" si="15"/>
        <v/>
      </c>
      <c r="I117" s="790" t="str">
        <f t="shared" si="13"/>
        <v/>
      </c>
      <c r="J117" s="734">
        <f t="shared" si="16"/>
        <v>0</v>
      </c>
      <c r="K117" s="774">
        <f t="shared" si="14"/>
        <v>0</v>
      </c>
      <c r="L117" s="737"/>
      <c r="X117" s="739"/>
      <c r="Y117" s="729"/>
      <c r="Z117" s="729"/>
      <c r="AA117" s="728"/>
      <c r="AB117" s="728"/>
      <c r="AC117" s="728"/>
    </row>
    <row r="118" spans="2:29" s="730" customFormat="1" ht="12.75" x14ac:dyDescent="0.2">
      <c r="B118" s="740" t="s">
        <v>656</v>
      </c>
      <c r="C118" s="741"/>
      <c r="D118" s="2857"/>
      <c r="E118" s="2859"/>
      <c r="F118" s="732"/>
      <c r="G118" s="732"/>
      <c r="H118" s="773" t="str">
        <f t="shared" si="15"/>
        <v/>
      </c>
      <c r="I118" s="790" t="str">
        <f t="shared" si="13"/>
        <v/>
      </c>
      <c r="J118" s="734">
        <f t="shared" si="16"/>
        <v>0</v>
      </c>
      <c r="K118" s="774">
        <f t="shared" si="14"/>
        <v>0</v>
      </c>
      <c r="L118" s="737"/>
      <c r="X118" s="739"/>
      <c r="Y118" s="729"/>
      <c r="Z118" s="729"/>
      <c r="AA118" s="728"/>
      <c r="AB118" s="728"/>
      <c r="AC118" s="728"/>
    </row>
    <row r="119" spans="2:29" s="730" customFormat="1" ht="12.75" x14ac:dyDescent="0.2">
      <c r="B119" s="740" t="s">
        <v>657</v>
      </c>
      <c r="C119" s="741"/>
      <c r="D119" s="2857"/>
      <c r="E119" s="2859"/>
      <c r="F119" s="732"/>
      <c r="G119" s="732"/>
      <c r="H119" s="773" t="str">
        <f t="shared" si="15"/>
        <v/>
      </c>
      <c r="I119" s="790" t="str">
        <f t="shared" si="13"/>
        <v/>
      </c>
      <c r="J119" s="734">
        <f t="shared" si="16"/>
        <v>0</v>
      </c>
      <c r="K119" s="774">
        <f t="shared" si="14"/>
        <v>0</v>
      </c>
      <c r="L119" s="737"/>
      <c r="X119" s="739"/>
      <c r="Y119" s="729"/>
      <c r="Z119" s="729"/>
      <c r="AA119" s="728"/>
      <c r="AB119" s="728"/>
      <c r="AC119" s="728"/>
    </row>
    <row r="120" spans="2:29" s="730" customFormat="1" ht="12.75" x14ac:dyDescent="0.2">
      <c r="B120" s="740" t="s">
        <v>658</v>
      </c>
      <c r="C120" s="741"/>
      <c r="D120" s="2857"/>
      <c r="E120" s="2859"/>
      <c r="F120" s="732"/>
      <c r="G120" s="732"/>
      <c r="H120" s="773" t="str">
        <f t="shared" si="15"/>
        <v/>
      </c>
      <c r="I120" s="790" t="str">
        <f t="shared" si="13"/>
        <v/>
      </c>
      <c r="J120" s="734">
        <f t="shared" si="16"/>
        <v>0</v>
      </c>
      <c r="K120" s="774">
        <f t="shared" si="14"/>
        <v>0</v>
      </c>
      <c r="L120" s="737"/>
      <c r="X120" s="739"/>
      <c r="Y120" s="729"/>
      <c r="Z120" s="729"/>
      <c r="AA120" s="728"/>
      <c r="AB120" s="728"/>
      <c r="AC120" s="728"/>
    </row>
    <row r="121" spans="2:29" s="730" customFormat="1" ht="12.75" x14ac:dyDescent="0.2">
      <c r="B121" s="740" t="s">
        <v>659</v>
      </c>
      <c r="C121" s="741"/>
      <c r="D121" s="2857"/>
      <c r="E121" s="2859"/>
      <c r="F121" s="732"/>
      <c r="G121" s="732"/>
      <c r="H121" s="773" t="str">
        <f t="shared" si="15"/>
        <v/>
      </c>
      <c r="I121" s="790" t="str">
        <f t="shared" si="13"/>
        <v/>
      </c>
      <c r="J121" s="734">
        <f t="shared" si="16"/>
        <v>0</v>
      </c>
      <c r="K121" s="774">
        <f t="shared" si="14"/>
        <v>0</v>
      </c>
      <c r="L121" s="737"/>
      <c r="X121" s="739"/>
      <c r="Y121" s="729"/>
      <c r="Z121" s="729"/>
      <c r="AA121" s="728"/>
      <c r="AB121" s="728"/>
      <c r="AC121" s="728"/>
    </row>
    <row r="122" spans="2:29" s="730" customFormat="1" ht="12.75" x14ac:dyDescent="0.2">
      <c r="B122" s="740" t="s">
        <v>660</v>
      </c>
      <c r="C122" s="741"/>
      <c r="D122" s="2857"/>
      <c r="E122" s="2859"/>
      <c r="F122" s="732"/>
      <c r="G122" s="732"/>
      <c r="H122" s="773" t="str">
        <f t="shared" si="15"/>
        <v/>
      </c>
      <c r="I122" s="790" t="str">
        <f t="shared" si="13"/>
        <v/>
      </c>
      <c r="J122" s="734">
        <f t="shared" si="16"/>
        <v>0</v>
      </c>
      <c r="K122" s="774">
        <f t="shared" si="14"/>
        <v>0</v>
      </c>
      <c r="L122" s="737"/>
      <c r="X122" s="739"/>
      <c r="Y122" s="729"/>
      <c r="Z122" s="729"/>
      <c r="AA122" s="728"/>
      <c r="AB122" s="728"/>
      <c r="AC122" s="728"/>
    </row>
    <row r="123" spans="2:29" s="730" customFormat="1" ht="12.75" x14ac:dyDescent="0.2">
      <c r="B123" s="740" t="s">
        <v>661</v>
      </c>
      <c r="C123" s="741"/>
      <c r="D123" s="2857"/>
      <c r="E123" s="2859"/>
      <c r="F123" s="732"/>
      <c r="G123" s="732"/>
      <c r="H123" s="773" t="str">
        <f t="shared" si="15"/>
        <v/>
      </c>
      <c r="I123" s="790" t="str">
        <f t="shared" si="13"/>
        <v/>
      </c>
      <c r="J123" s="734">
        <f t="shared" si="16"/>
        <v>0</v>
      </c>
      <c r="K123" s="774">
        <f t="shared" si="14"/>
        <v>0</v>
      </c>
      <c r="L123" s="743"/>
      <c r="X123" s="739"/>
      <c r="Y123" s="729"/>
      <c r="Z123" s="729"/>
      <c r="AA123" s="728"/>
      <c r="AB123" s="728"/>
      <c r="AC123" s="728"/>
    </row>
    <row r="124" spans="2:29" s="730" customFormat="1" ht="12.75" x14ac:dyDescent="0.2">
      <c r="B124" s="740" t="s">
        <v>662</v>
      </c>
      <c r="C124" s="741"/>
      <c r="D124" s="2857"/>
      <c r="E124" s="2859"/>
      <c r="F124" s="732"/>
      <c r="G124" s="732"/>
      <c r="H124" s="773" t="str">
        <f t="shared" si="15"/>
        <v/>
      </c>
      <c r="I124" s="790" t="str">
        <f t="shared" si="13"/>
        <v/>
      </c>
      <c r="J124" s="734">
        <f t="shared" si="16"/>
        <v>0</v>
      </c>
      <c r="K124" s="774">
        <f t="shared" si="14"/>
        <v>0</v>
      </c>
      <c r="L124" s="737"/>
      <c r="X124" s="739"/>
      <c r="Y124" s="729"/>
      <c r="Z124" s="729"/>
      <c r="AA124" s="728"/>
      <c r="AB124" s="728"/>
      <c r="AC124" s="728"/>
    </row>
    <row r="125" spans="2:29" s="730" customFormat="1" ht="12.75" x14ac:dyDescent="0.2">
      <c r="B125" s="740" t="s">
        <v>663</v>
      </c>
      <c r="C125" s="741"/>
      <c r="D125" s="2857"/>
      <c r="E125" s="2859"/>
      <c r="F125" s="732"/>
      <c r="G125" s="732"/>
      <c r="H125" s="773" t="str">
        <f t="shared" si="15"/>
        <v/>
      </c>
      <c r="I125" s="790" t="str">
        <f t="shared" si="13"/>
        <v/>
      </c>
      <c r="J125" s="734">
        <f t="shared" si="16"/>
        <v>0</v>
      </c>
      <c r="K125" s="774">
        <f t="shared" si="14"/>
        <v>0</v>
      </c>
      <c r="L125" s="737"/>
      <c r="X125" s="739"/>
      <c r="Y125" s="729"/>
      <c r="Z125" s="729"/>
      <c r="AA125" s="728"/>
      <c r="AB125" s="728"/>
      <c r="AC125" s="728"/>
    </row>
    <row r="126" spans="2:29" s="730" customFormat="1" ht="12.75" x14ac:dyDescent="0.2">
      <c r="B126" s="740" t="s">
        <v>664</v>
      </c>
      <c r="C126" s="741"/>
      <c r="D126" s="2857"/>
      <c r="E126" s="2859"/>
      <c r="F126" s="732"/>
      <c r="G126" s="732"/>
      <c r="H126" s="773" t="str">
        <f t="shared" si="15"/>
        <v/>
      </c>
      <c r="I126" s="790" t="str">
        <f t="shared" si="13"/>
        <v/>
      </c>
      <c r="J126" s="734">
        <f t="shared" si="16"/>
        <v>0</v>
      </c>
      <c r="K126" s="774">
        <f t="shared" si="14"/>
        <v>0</v>
      </c>
      <c r="L126" s="737"/>
      <c r="X126" s="739"/>
      <c r="Y126" s="729"/>
      <c r="Z126" s="729"/>
      <c r="AA126" s="728"/>
      <c r="AB126" s="728"/>
      <c r="AC126" s="728"/>
    </row>
    <row r="127" spans="2:29" s="730" customFormat="1" ht="12.75" x14ac:dyDescent="0.2">
      <c r="B127" s="740" t="s">
        <v>665</v>
      </c>
      <c r="C127" s="741"/>
      <c r="D127" s="2857"/>
      <c r="E127" s="2859"/>
      <c r="F127" s="732"/>
      <c r="G127" s="732"/>
      <c r="H127" s="773" t="str">
        <f t="shared" si="15"/>
        <v/>
      </c>
      <c r="I127" s="790" t="str">
        <f t="shared" si="13"/>
        <v/>
      </c>
      <c r="J127" s="734">
        <f t="shared" si="16"/>
        <v>0</v>
      </c>
      <c r="K127" s="774">
        <f t="shared" si="14"/>
        <v>0</v>
      </c>
      <c r="L127" s="737"/>
      <c r="X127" s="739"/>
      <c r="Y127" s="729"/>
      <c r="Z127" s="729"/>
      <c r="AA127" s="728"/>
      <c r="AB127" s="728"/>
      <c r="AC127" s="728"/>
    </row>
    <row r="128" spans="2:29" s="730" customFormat="1" ht="12.75" x14ac:dyDescent="0.2">
      <c r="B128" s="740" t="s">
        <v>666</v>
      </c>
      <c r="C128" s="741"/>
      <c r="D128" s="2857"/>
      <c r="E128" s="2859"/>
      <c r="F128" s="732"/>
      <c r="G128" s="732"/>
      <c r="H128" s="773" t="str">
        <f t="shared" si="15"/>
        <v/>
      </c>
      <c r="I128" s="790" t="str">
        <f t="shared" si="13"/>
        <v/>
      </c>
      <c r="J128" s="734">
        <f t="shared" si="16"/>
        <v>0</v>
      </c>
      <c r="K128" s="774">
        <f t="shared" si="14"/>
        <v>0</v>
      </c>
      <c r="L128" s="737"/>
      <c r="X128" s="739"/>
      <c r="Y128" s="729"/>
      <c r="Z128" s="729"/>
      <c r="AA128" s="728"/>
      <c r="AB128" s="728"/>
      <c r="AC128" s="728"/>
    </row>
    <row r="129" spans="2:29" s="730" customFormat="1" ht="12.75" x14ac:dyDescent="0.2">
      <c r="B129" s="740" t="s">
        <v>667</v>
      </c>
      <c r="C129" s="741"/>
      <c r="D129" s="2857"/>
      <c r="E129" s="2859"/>
      <c r="F129" s="732"/>
      <c r="G129" s="732"/>
      <c r="H129" s="773" t="str">
        <f t="shared" si="15"/>
        <v/>
      </c>
      <c r="I129" s="790" t="str">
        <f t="shared" si="13"/>
        <v/>
      </c>
      <c r="J129" s="734">
        <f t="shared" si="16"/>
        <v>0</v>
      </c>
      <c r="K129" s="774">
        <f t="shared" si="14"/>
        <v>0</v>
      </c>
      <c r="L129" s="737"/>
      <c r="X129" s="739"/>
      <c r="Y129" s="729"/>
      <c r="Z129" s="729"/>
      <c r="AA129" s="728"/>
      <c r="AB129" s="728"/>
      <c r="AC129" s="728"/>
    </row>
    <row r="130" spans="2:29" s="730" customFormat="1" ht="12.75" x14ac:dyDescent="0.2">
      <c r="B130" s="740" t="s">
        <v>668</v>
      </c>
      <c r="C130" s="741"/>
      <c r="D130" s="2857"/>
      <c r="E130" s="2859"/>
      <c r="F130" s="732"/>
      <c r="G130" s="732"/>
      <c r="H130" s="773" t="str">
        <f t="shared" si="15"/>
        <v/>
      </c>
      <c r="I130" s="790" t="str">
        <f t="shared" si="13"/>
        <v/>
      </c>
      <c r="J130" s="734">
        <f t="shared" si="16"/>
        <v>0</v>
      </c>
      <c r="K130" s="774">
        <f t="shared" si="14"/>
        <v>0</v>
      </c>
      <c r="L130" s="737"/>
      <c r="X130" s="739"/>
      <c r="Y130" s="729"/>
      <c r="Z130" s="729"/>
      <c r="AA130" s="728"/>
      <c r="AB130" s="728"/>
      <c r="AC130" s="728"/>
    </row>
    <row r="131" spans="2:29" s="730" customFormat="1" ht="12.75" x14ac:dyDescent="0.2">
      <c r="B131" s="740" t="s">
        <v>669</v>
      </c>
      <c r="C131" s="741"/>
      <c r="D131" s="2857"/>
      <c r="E131" s="2859"/>
      <c r="F131" s="732"/>
      <c r="G131" s="732"/>
      <c r="H131" s="773" t="str">
        <f t="shared" si="15"/>
        <v/>
      </c>
      <c r="I131" s="790" t="str">
        <f t="shared" si="13"/>
        <v/>
      </c>
      <c r="J131" s="734">
        <f t="shared" si="16"/>
        <v>0</v>
      </c>
      <c r="K131" s="774">
        <f t="shared" si="14"/>
        <v>0</v>
      </c>
      <c r="L131" s="737"/>
      <c r="X131" s="739"/>
      <c r="Y131" s="729"/>
      <c r="Z131" s="729"/>
      <c r="AA131" s="728"/>
      <c r="AB131" s="728"/>
      <c r="AC131" s="728"/>
    </row>
    <row r="132" spans="2:29" s="730" customFormat="1" ht="12.75" x14ac:dyDescent="0.2">
      <c r="B132" s="740" t="s">
        <v>670</v>
      </c>
      <c r="C132" s="741"/>
      <c r="D132" s="2857"/>
      <c r="E132" s="2859"/>
      <c r="F132" s="732"/>
      <c r="G132" s="732"/>
      <c r="H132" s="773" t="str">
        <f t="shared" si="15"/>
        <v/>
      </c>
      <c r="I132" s="790" t="str">
        <f t="shared" si="13"/>
        <v/>
      </c>
      <c r="J132" s="734">
        <f t="shared" si="16"/>
        <v>0</v>
      </c>
      <c r="K132" s="774">
        <f t="shared" si="14"/>
        <v>0</v>
      </c>
      <c r="L132" s="737"/>
      <c r="X132" s="739"/>
      <c r="Y132" s="729"/>
      <c r="Z132" s="729"/>
      <c r="AA132" s="728"/>
      <c r="AB132" s="728"/>
      <c r="AC132" s="728"/>
    </row>
    <row r="133" spans="2:29" s="730" customFormat="1" ht="12.75" x14ac:dyDescent="0.2">
      <c r="B133" s="740" t="s">
        <v>671</v>
      </c>
      <c r="C133" s="741"/>
      <c r="D133" s="2857"/>
      <c r="E133" s="2859"/>
      <c r="F133" s="732"/>
      <c r="G133" s="732"/>
      <c r="H133" s="773" t="str">
        <f t="shared" si="15"/>
        <v/>
      </c>
      <c r="I133" s="790" t="str">
        <f t="shared" si="13"/>
        <v/>
      </c>
      <c r="J133" s="734">
        <f t="shared" si="16"/>
        <v>0</v>
      </c>
      <c r="K133" s="774">
        <f t="shared" si="14"/>
        <v>0</v>
      </c>
      <c r="L133" s="743"/>
      <c r="X133" s="739"/>
      <c r="Y133" s="729"/>
      <c r="Z133" s="729"/>
      <c r="AA133" s="728"/>
      <c r="AB133" s="728"/>
      <c r="AC133" s="728"/>
    </row>
    <row r="134" spans="2:29" s="730" customFormat="1" ht="12.75" x14ac:dyDescent="0.2">
      <c r="B134" s="740" t="s">
        <v>672</v>
      </c>
      <c r="C134" s="741"/>
      <c r="D134" s="2857"/>
      <c r="E134" s="2859"/>
      <c r="F134" s="732"/>
      <c r="G134" s="732"/>
      <c r="H134" s="773" t="str">
        <f t="shared" si="15"/>
        <v/>
      </c>
      <c r="I134" s="790" t="str">
        <f t="shared" si="13"/>
        <v/>
      </c>
      <c r="J134" s="734">
        <f t="shared" si="16"/>
        <v>0</v>
      </c>
      <c r="K134" s="774">
        <f t="shared" si="14"/>
        <v>0</v>
      </c>
      <c r="L134" s="737"/>
      <c r="X134" s="739"/>
      <c r="Y134" s="729"/>
      <c r="Z134" s="729"/>
      <c r="AA134" s="728"/>
      <c r="AB134" s="728"/>
      <c r="AC134" s="728"/>
    </row>
    <row r="135" spans="2:29" s="730" customFormat="1" ht="12.75" x14ac:dyDescent="0.2">
      <c r="B135" s="1955" t="s">
        <v>673</v>
      </c>
      <c r="C135" s="1942"/>
      <c r="D135" s="2895"/>
      <c r="E135" s="2896"/>
      <c r="F135" s="1942"/>
      <c r="G135" s="1942"/>
      <c r="H135" s="1943" t="str">
        <f t="shared" si="15"/>
        <v/>
      </c>
      <c r="I135" s="1957" t="str">
        <f t="shared" si="13"/>
        <v/>
      </c>
      <c r="J135" s="1944">
        <f t="shared" si="16"/>
        <v>0</v>
      </c>
      <c r="K135" s="1956">
        <f t="shared" si="14"/>
        <v>0</v>
      </c>
      <c r="L135" s="737"/>
      <c r="X135" s="739"/>
      <c r="Y135" s="729"/>
      <c r="Z135" s="729"/>
      <c r="AA135" s="728"/>
      <c r="AB135" s="728"/>
      <c r="AC135" s="728"/>
    </row>
    <row r="136" spans="2:29" s="730" customFormat="1" ht="12.75" x14ac:dyDescent="0.2">
      <c r="B136" s="1953" t="s">
        <v>674</v>
      </c>
      <c r="C136" s="1948"/>
      <c r="D136" s="2897"/>
      <c r="E136" s="2899"/>
      <c r="F136" s="1948"/>
      <c r="G136" s="1948"/>
      <c r="H136" s="1949" t="str">
        <f t="shared" si="15"/>
        <v/>
      </c>
      <c r="I136" s="1958" t="str">
        <f t="shared" si="13"/>
        <v/>
      </c>
      <c r="J136" s="1950">
        <f t="shared" si="16"/>
        <v>0</v>
      </c>
      <c r="K136" s="1954">
        <f t="shared" si="14"/>
        <v>0</v>
      </c>
      <c r="L136" s="737"/>
      <c r="X136" s="739"/>
      <c r="Y136" s="729"/>
      <c r="Z136" s="729"/>
      <c r="AA136" s="728"/>
      <c r="AB136" s="728"/>
      <c r="AC136" s="728"/>
    </row>
    <row r="137" spans="2:29" s="730" customFormat="1" ht="12.75" x14ac:dyDescent="0.2">
      <c r="B137" s="740" t="s">
        <v>675</v>
      </c>
      <c r="C137" s="741"/>
      <c r="D137" s="2857"/>
      <c r="E137" s="2859"/>
      <c r="F137" s="732"/>
      <c r="G137" s="732"/>
      <c r="H137" s="773" t="str">
        <f t="shared" si="15"/>
        <v/>
      </c>
      <c r="I137" s="790" t="str">
        <f t="shared" si="13"/>
        <v/>
      </c>
      <c r="J137" s="734">
        <f t="shared" si="16"/>
        <v>0</v>
      </c>
      <c r="K137" s="774">
        <f t="shared" si="14"/>
        <v>0</v>
      </c>
      <c r="L137" s="737"/>
      <c r="X137" s="739"/>
      <c r="Y137" s="729"/>
      <c r="Z137" s="729"/>
      <c r="AA137" s="728"/>
      <c r="AB137" s="728"/>
      <c r="AC137" s="728"/>
    </row>
    <row r="138" spans="2:29" s="730" customFormat="1" ht="12.75" x14ac:dyDescent="0.2">
      <c r="B138" s="740" t="s">
        <v>676</v>
      </c>
      <c r="C138" s="741"/>
      <c r="D138" s="2857"/>
      <c r="E138" s="2859"/>
      <c r="F138" s="732"/>
      <c r="G138" s="732"/>
      <c r="H138" s="773" t="str">
        <f t="shared" si="15"/>
        <v/>
      </c>
      <c r="I138" s="790" t="str">
        <f t="shared" si="13"/>
        <v/>
      </c>
      <c r="J138" s="734">
        <f t="shared" si="16"/>
        <v>0</v>
      </c>
      <c r="K138" s="774">
        <f t="shared" si="14"/>
        <v>0</v>
      </c>
      <c r="L138" s="737"/>
      <c r="X138" s="739"/>
      <c r="Y138" s="729"/>
      <c r="Z138" s="729"/>
      <c r="AA138" s="728"/>
      <c r="AB138" s="728"/>
      <c r="AC138" s="728"/>
    </row>
    <row r="139" spans="2:29" s="730" customFormat="1" ht="12.75" x14ac:dyDescent="0.2">
      <c r="B139" s="740" t="s">
        <v>677</v>
      </c>
      <c r="C139" s="741"/>
      <c r="D139" s="2857"/>
      <c r="E139" s="2859"/>
      <c r="F139" s="732"/>
      <c r="G139" s="732"/>
      <c r="H139" s="773" t="str">
        <f t="shared" si="15"/>
        <v/>
      </c>
      <c r="I139" s="790" t="str">
        <f t="shared" si="13"/>
        <v/>
      </c>
      <c r="J139" s="734">
        <f t="shared" si="16"/>
        <v>0</v>
      </c>
      <c r="K139" s="774">
        <f t="shared" si="14"/>
        <v>0</v>
      </c>
      <c r="L139" s="737"/>
      <c r="X139" s="739"/>
      <c r="Y139" s="729"/>
      <c r="Z139" s="729"/>
      <c r="AA139" s="728"/>
      <c r="AB139" s="728"/>
      <c r="AC139" s="728"/>
    </row>
    <row r="140" spans="2:29" s="730" customFormat="1" ht="12.75" x14ac:dyDescent="0.2">
      <c r="B140" s="740" t="s">
        <v>1188</v>
      </c>
      <c r="C140" s="741"/>
      <c r="D140" s="2857"/>
      <c r="E140" s="2859"/>
      <c r="F140" s="732"/>
      <c r="G140" s="732"/>
      <c r="H140" s="773" t="str">
        <f t="shared" ref="H140:H149" si="17">IF(F140&lt;&gt;"",1,"")</f>
        <v/>
      </c>
      <c r="I140" s="790" t="str">
        <f t="shared" ref="I140:I149" si="18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734">
        <f t="shared" ref="J140:J149" si="19">IF(AND(F140&lt;&gt;"",F140&lt;&gt;0),IF(AND(G140&lt;&gt;"",G140&lt;&gt;0),G140*I140,0),0)</f>
        <v>0</v>
      </c>
      <c r="K140" s="774">
        <f t="shared" ref="K140:K149" si="20">J140/15</f>
        <v>0</v>
      </c>
      <c r="L140" s="737"/>
      <c r="X140" s="739"/>
      <c r="Y140" s="729"/>
      <c r="Z140" s="729"/>
      <c r="AA140" s="728"/>
      <c r="AB140" s="728"/>
      <c r="AC140" s="728"/>
    </row>
    <row r="141" spans="2:29" s="730" customFormat="1" ht="12.75" x14ac:dyDescent="0.2">
      <c r="B141" s="740" t="s">
        <v>1189</v>
      </c>
      <c r="C141" s="741"/>
      <c r="D141" s="2857"/>
      <c r="E141" s="2859"/>
      <c r="F141" s="732"/>
      <c r="G141" s="732"/>
      <c r="H141" s="773" t="str">
        <f t="shared" si="17"/>
        <v/>
      </c>
      <c r="I141" s="790" t="str">
        <f t="shared" si="18"/>
        <v/>
      </c>
      <c r="J141" s="734">
        <f t="shared" si="19"/>
        <v>0</v>
      </c>
      <c r="K141" s="774">
        <f t="shared" si="20"/>
        <v>0</v>
      </c>
      <c r="L141" s="737"/>
      <c r="X141" s="739"/>
      <c r="Y141" s="729"/>
      <c r="Z141" s="729"/>
      <c r="AA141" s="728"/>
      <c r="AB141" s="728"/>
      <c r="AC141" s="728"/>
    </row>
    <row r="142" spans="2:29" s="730" customFormat="1" ht="12.75" x14ac:dyDescent="0.2">
      <c r="B142" s="740" t="s">
        <v>1190</v>
      </c>
      <c r="C142" s="741"/>
      <c r="D142" s="2857"/>
      <c r="E142" s="2859"/>
      <c r="F142" s="732"/>
      <c r="G142" s="732"/>
      <c r="H142" s="773" t="str">
        <f t="shared" si="17"/>
        <v/>
      </c>
      <c r="I142" s="790" t="str">
        <f t="shared" si="18"/>
        <v/>
      </c>
      <c r="J142" s="734">
        <f t="shared" si="19"/>
        <v>0</v>
      </c>
      <c r="K142" s="774">
        <f t="shared" si="20"/>
        <v>0</v>
      </c>
      <c r="L142" s="737"/>
      <c r="X142" s="739"/>
      <c r="Y142" s="729"/>
      <c r="Z142" s="729"/>
      <c r="AA142" s="728"/>
      <c r="AB142" s="728"/>
      <c r="AC142" s="728"/>
    </row>
    <row r="143" spans="2:29" s="730" customFormat="1" ht="12.75" x14ac:dyDescent="0.2">
      <c r="B143" s="740" t="s">
        <v>1191</v>
      </c>
      <c r="C143" s="741"/>
      <c r="D143" s="2857"/>
      <c r="E143" s="2859"/>
      <c r="F143" s="732"/>
      <c r="G143" s="732"/>
      <c r="H143" s="773" t="str">
        <f t="shared" si="17"/>
        <v/>
      </c>
      <c r="I143" s="790" t="str">
        <f t="shared" si="18"/>
        <v/>
      </c>
      <c r="J143" s="734">
        <f t="shared" si="19"/>
        <v>0</v>
      </c>
      <c r="K143" s="774">
        <f t="shared" si="20"/>
        <v>0</v>
      </c>
      <c r="L143" s="743"/>
      <c r="X143" s="739"/>
      <c r="Y143" s="729"/>
      <c r="Z143" s="729"/>
      <c r="AA143" s="728"/>
      <c r="AB143" s="728"/>
      <c r="AC143" s="728"/>
    </row>
    <row r="144" spans="2:29" s="730" customFormat="1" ht="12.75" x14ac:dyDescent="0.2">
      <c r="B144" s="740" t="s">
        <v>1192</v>
      </c>
      <c r="C144" s="741"/>
      <c r="D144" s="2857"/>
      <c r="E144" s="2859"/>
      <c r="F144" s="732"/>
      <c r="G144" s="732"/>
      <c r="H144" s="773" t="str">
        <f t="shared" si="17"/>
        <v/>
      </c>
      <c r="I144" s="790" t="str">
        <f t="shared" si="18"/>
        <v/>
      </c>
      <c r="J144" s="734">
        <f t="shared" si="19"/>
        <v>0</v>
      </c>
      <c r="K144" s="774">
        <f t="shared" si="20"/>
        <v>0</v>
      </c>
      <c r="L144" s="737"/>
      <c r="X144" s="739"/>
      <c r="Y144" s="729"/>
      <c r="Z144" s="729"/>
      <c r="AA144" s="728"/>
      <c r="AB144" s="728"/>
      <c r="AC144" s="728"/>
    </row>
    <row r="145" spans="2:29" s="730" customFormat="1" ht="12.75" x14ac:dyDescent="0.2">
      <c r="B145" s="740" t="s">
        <v>1193</v>
      </c>
      <c r="C145" s="741"/>
      <c r="D145" s="2857"/>
      <c r="E145" s="2859"/>
      <c r="F145" s="732"/>
      <c r="G145" s="732"/>
      <c r="H145" s="773" t="str">
        <f t="shared" si="17"/>
        <v/>
      </c>
      <c r="I145" s="790" t="str">
        <f t="shared" si="18"/>
        <v/>
      </c>
      <c r="J145" s="734">
        <f t="shared" si="19"/>
        <v>0</v>
      </c>
      <c r="K145" s="774">
        <f t="shared" si="20"/>
        <v>0</v>
      </c>
      <c r="L145" s="737"/>
      <c r="X145" s="739"/>
      <c r="Y145" s="729"/>
      <c r="Z145" s="729"/>
      <c r="AA145" s="728"/>
      <c r="AB145" s="728"/>
      <c r="AC145" s="728"/>
    </row>
    <row r="146" spans="2:29" s="730" customFormat="1" ht="12.75" x14ac:dyDescent="0.2">
      <c r="B146" s="740" t="s">
        <v>1194</v>
      </c>
      <c r="C146" s="741"/>
      <c r="D146" s="2857"/>
      <c r="E146" s="2859"/>
      <c r="F146" s="732"/>
      <c r="G146" s="732"/>
      <c r="H146" s="773" t="str">
        <f t="shared" si="17"/>
        <v/>
      </c>
      <c r="I146" s="790" t="str">
        <f t="shared" si="18"/>
        <v/>
      </c>
      <c r="J146" s="734">
        <f t="shared" si="19"/>
        <v>0</v>
      </c>
      <c r="K146" s="774">
        <f t="shared" si="20"/>
        <v>0</v>
      </c>
      <c r="L146" s="737"/>
      <c r="X146" s="739"/>
      <c r="Y146" s="729"/>
      <c r="Z146" s="729"/>
      <c r="AA146" s="728"/>
      <c r="AB146" s="728"/>
      <c r="AC146" s="728"/>
    </row>
    <row r="147" spans="2:29" s="730" customFormat="1" ht="12.75" x14ac:dyDescent="0.2">
      <c r="B147" s="740" t="s">
        <v>1195</v>
      </c>
      <c r="C147" s="741"/>
      <c r="D147" s="2857"/>
      <c r="E147" s="2859"/>
      <c r="F147" s="732"/>
      <c r="G147" s="732"/>
      <c r="H147" s="773" t="str">
        <f t="shared" si="17"/>
        <v/>
      </c>
      <c r="I147" s="790" t="str">
        <f t="shared" si="18"/>
        <v/>
      </c>
      <c r="J147" s="734">
        <f t="shared" si="19"/>
        <v>0</v>
      </c>
      <c r="K147" s="774">
        <f t="shared" si="20"/>
        <v>0</v>
      </c>
      <c r="L147" s="737"/>
      <c r="X147" s="739"/>
      <c r="Y147" s="729"/>
      <c r="Z147" s="729"/>
      <c r="AA147" s="728"/>
      <c r="AB147" s="728"/>
      <c r="AC147" s="728"/>
    </row>
    <row r="148" spans="2:29" s="730" customFormat="1" ht="12.75" x14ac:dyDescent="0.2">
      <c r="B148" s="740" t="s">
        <v>1196</v>
      </c>
      <c r="C148" s="741"/>
      <c r="D148" s="2857"/>
      <c r="E148" s="2859"/>
      <c r="F148" s="732"/>
      <c r="G148" s="732"/>
      <c r="H148" s="773" t="str">
        <f t="shared" si="17"/>
        <v/>
      </c>
      <c r="I148" s="790" t="str">
        <f t="shared" si="18"/>
        <v/>
      </c>
      <c r="J148" s="734">
        <f t="shared" si="19"/>
        <v>0</v>
      </c>
      <c r="K148" s="774">
        <f t="shared" si="20"/>
        <v>0</v>
      </c>
      <c r="L148" s="737"/>
      <c r="X148" s="739"/>
      <c r="Y148" s="729"/>
      <c r="Z148" s="729"/>
      <c r="AA148" s="728"/>
      <c r="AB148" s="728"/>
      <c r="AC148" s="728"/>
    </row>
    <row r="149" spans="2:29" s="730" customFormat="1" ht="12.75" x14ac:dyDescent="0.2">
      <c r="B149" s="1890" t="s">
        <v>1197</v>
      </c>
      <c r="C149" s="741"/>
      <c r="D149" s="2888"/>
      <c r="E149" s="2859"/>
      <c r="F149" s="732"/>
      <c r="G149" s="732"/>
      <c r="H149" s="773" t="str">
        <f t="shared" si="17"/>
        <v/>
      </c>
      <c r="I149" s="790" t="str">
        <f t="shared" si="18"/>
        <v/>
      </c>
      <c r="J149" s="734">
        <f t="shared" si="19"/>
        <v>0</v>
      </c>
      <c r="K149" s="774">
        <f t="shared" si="20"/>
        <v>0</v>
      </c>
      <c r="L149" s="737"/>
      <c r="X149" s="739"/>
      <c r="Y149" s="729"/>
      <c r="Z149" s="729"/>
      <c r="AA149" s="728"/>
      <c r="AB149" s="728"/>
      <c r="AC149" s="728"/>
    </row>
    <row r="150" spans="2:29" s="676" customFormat="1" ht="21" customHeight="1" x14ac:dyDescent="0.2">
      <c r="B150" s="791"/>
      <c r="C150" s="792"/>
      <c r="D150" s="793"/>
      <c r="E150" s="794"/>
      <c r="F150" s="795"/>
      <c r="G150" s="795"/>
      <c r="H150" s="795"/>
      <c r="I150" s="796" t="s">
        <v>456</v>
      </c>
      <c r="J150" s="797">
        <f>SUM(J110:J149)</f>
        <v>317.25</v>
      </c>
      <c r="K150" s="798">
        <f>SUM(K110:K149)</f>
        <v>21.15</v>
      </c>
      <c r="L150" s="799"/>
      <c r="X150" s="684"/>
      <c r="Y150" s="684"/>
      <c r="Z150" s="684"/>
    </row>
    <row r="151" spans="2:29" s="676" customFormat="1" ht="21" customHeight="1" x14ac:dyDescent="0.2">
      <c r="B151" s="785"/>
      <c r="C151" s="693" t="s">
        <v>681</v>
      </c>
      <c r="D151" s="786"/>
      <c r="E151" s="695"/>
      <c r="F151" s="788"/>
      <c r="G151" s="696" t="s">
        <v>633</v>
      </c>
      <c r="H151" s="787"/>
      <c r="I151" s="787"/>
      <c r="J151" s="697"/>
      <c r="K151" s="763"/>
      <c r="L151" s="699"/>
      <c r="X151" s="684"/>
      <c r="Y151" s="684"/>
      <c r="Z151" s="684"/>
    </row>
    <row r="152" spans="2:29" ht="14.25" customHeight="1" x14ac:dyDescent="0.2">
      <c r="B152" s="700"/>
      <c r="C152" s="701" t="s">
        <v>634</v>
      </c>
      <c r="D152" s="2861" t="s">
        <v>635</v>
      </c>
      <c r="E152" s="2862"/>
      <c r="F152" s="2863"/>
      <c r="G152" s="702" t="s">
        <v>636</v>
      </c>
      <c r="H152" s="704" t="s">
        <v>449</v>
      </c>
      <c r="I152" s="705" t="s">
        <v>638</v>
      </c>
      <c r="J152" s="705" t="s">
        <v>639</v>
      </c>
      <c r="K152" s="706" t="s">
        <v>639</v>
      </c>
      <c r="L152" s="707"/>
    </row>
    <row r="153" spans="2:29" x14ac:dyDescent="0.2">
      <c r="B153" s="764"/>
      <c r="C153" s="765"/>
      <c r="D153" s="2908" t="s">
        <v>1185</v>
      </c>
      <c r="E153" s="2909"/>
      <c r="F153" s="2910"/>
      <c r="G153" s="766" t="s">
        <v>641</v>
      </c>
      <c r="H153" s="767" t="s">
        <v>643</v>
      </c>
      <c r="I153" s="713" t="s">
        <v>644</v>
      </c>
      <c r="J153" s="713" t="s">
        <v>641</v>
      </c>
      <c r="K153" s="706" t="s">
        <v>510</v>
      </c>
      <c r="L153" s="714"/>
    </row>
    <row r="154" spans="2:29" x14ac:dyDescent="0.2">
      <c r="B154" s="715"/>
      <c r="C154" s="768"/>
      <c r="D154" s="2900" t="s">
        <v>1243</v>
      </c>
      <c r="E154" s="2901"/>
      <c r="F154" s="2902"/>
      <c r="G154" s="717"/>
      <c r="H154" s="800"/>
      <c r="I154" s="720"/>
      <c r="J154" s="720"/>
      <c r="K154" s="721"/>
      <c r="L154" s="722"/>
    </row>
    <row r="155" spans="2:29" s="723" customFormat="1" x14ac:dyDescent="0.2">
      <c r="B155" s="724" t="s">
        <v>646</v>
      </c>
      <c r="C155" s="725" t="s">
        <v>680</v>
      </c>
      <c r="D155" s="2903" t="s">
        <v>1198</v>
      </c>
      <c r="E155" s="2904"/>
      <c r="F155" s="2905"/>
      <c r="G155" s="801">
        <v>45</v>
      </c>
      <c r="H155" s="726">
        <v>1</v>
      </c>
      <c r="I155" s="725">
        <f t="shared" ref="I155:I185" si="21">IF(AND(H155&lt;&gt;"",H155&lt;&gt;0),IF(H155&lt;=3,1.7*H155,(1.7*3)+((1.7*0.75)*(H155-3))),1.7)</f>
        <v>1.7</v>
      </c>
      <c r="J155" s="771">
        <f t="shared" ref="J155:J185" si="22">IF(AND(H155&lt;&gt;"",H155&lt;&gt;0),IF(X155&gt;="5",H155*G155*I155,G155*I155),0)</f>
        <v>76.5</v>
      </c>
      <c r="K155" s="772">
        <f t="shared" ref="K155:K185" si="23">J155/15</f>
        <v>5.0999999999999996</v>
      </c>
      <c r="L155" s="727"/>
      <c r="Q155" s="728"/>
      <c r="R155" s="728"/>
      <c r="S155" s="728"/>
      <c r="T155" s="728"/>
      <c r="U155" s="728"/>
      <c r="V155" s="728"/>
      <c r="W155" s="728"/>
      <c r="X155" s="729"/>
      <c r="Y155" s="729"/>
      <c r="Z155" s="729"/>
      <c r="AA155" s="728"/>
      <c r="AB155" s="728"/>
      <c r="AC155" s="728"/>
    </row>
    <row r="156" spans="2:29" s="730" customFormat="1" ht="12.75" x14ac:dyDescent="0.2">
      <c r="B156" s="740" t="s">
        <v>648</v>
      </c>
      <c r="C156" s="1965" t="s">
        <v>1273</v>
      </c>
      <c r="D156" s="2888" t="s">
        <v>1274</v>
      </c>
      <c r="E156" s="2858"/>
      <c r="F156" s="2859"/>
      <c r="G156" s="732">
        <v>21</v>
      </c>
      <c r="H156" s="773">
        <f>IF(G156&lt;&gt;"",1,"")</f>
        <v>1</v>
      </c>
      <c r="I156" s="790">
        <f t="shared" si="21"/>
        <v>1.7</v>
      </c>
      <c r="J156" s="734">
        <f t="shared" si="22"/>
        <v>35.699999999999996</v>
      </c>
      <c r="K156" s="774">
        <f t="shared" si="23"/>
        <v>2.38</v>
      </c>
      <c r="L156" s="737"/>
      <c r="X156" s="739"/>
      <c r="Y156" s="729"/>
      <c r="Z156" s="729"/>
      <c r="AA156" s="728"/>
      <c r="AB156" s="728"/>
      <c r="AC156" s="728"/>
    </row>
    <row r="157" spans="2:29" s="730" customFormat="1" ht="12.75" x14ac:dyDescent="0.2">
      <c r="B157" s="740" t="s">
        <v>649</v>
      </c>
      <c r="C157" s="1965" t="s">
        <v>1273</v>
      </c>
      <c r="D157" s="2888" t="s">
        <v>1275</v>
      </c>
      <c r="E157" s="2906"/>
      <c r="F157" s="2907"/>
      <c r="G157" s="732">
        <v>21</v>
      </c>
      <c r="H157" s="773">
        <f t="shared" ref="H157:H175" si="24">IF(G157&lt;&gt;"",1,"")</f>
        <v>1</v>
      </c>
      <c r="I157" s="790">
        <f t="shared" si="21"/>
        <v>1.7</v>
      </c>
      <c r="J157" s="734">
        <f t="shared" si="22"/>
        <v>35.699999999999996</v>
      </c>
      <c r="K157" s="774">
        <f t="shared" si="23"/>
        <v>2.38</v>
      </c>
      <c r="L157" s="737"/>
      <c r="X157" s="739"/>
      <c r="Y157" s="729"/>
      <c r="Z157" s="729"/>
      <c r="AA157" s="728"/>
      <c r="AB157" s="728"/>
      <c r="AC157" s="728"/>
    </row>
    <row r="158" spans="2:29" s="730" customFormat="1" ht="12.75" x14ac:dyDescent="0.2">
      <c r="B158" s="740" t="s">
        <v>650</v>
      </c>
      <c r="C158" s="741"/>
      <c r="D158" s="2857"/>
      <c r="E158" s="2858"/>
      <c r="F158" s="2859"/>
      <c r="G158" s="732"/>
      <c r="H158" s="773" t="str">
        <f t="shared" si="24"/>
        <v/>
      </c>
      <c r="I158" s="790">
        <f t="shared" si="21"/>
        <v>1.7</v>
      </c>
      <c r="J158" s="734">
        <f t="shared" si="22"/>
        <v>0</v>
      </c>
      <c r="K158" s="774">
        <f t="shared" si="23"/>
        <v>0</v>
      </c>
      <c r="L158" s="737"/>
      <c r="X158" s="739"/>
      <c r="Y158" s="729"/>
      <c r="Z158" s="729"/>
      <c r="AA158" s="728"/>
      <c r="AB158" s="728"/>
      <c r="AC158" s="728"/>
    </row>
    <row r="159" spans="2:29" s="730" customFormat="1" ht="12.75" x14ac:dyDescent="0.2">
      <c r="B159" s="740" t="s">
        <v>651</v>
      </c>
      <c r="C159" s="741"/>
      <c r="D159" s="2857"/>
      <c r="E159" s="2858"/>
      <c r="F159" s="2859"/>
      <c r="G159" s="732"/>
      <c r="H159" s="773" t="str">
        <f t="shared" si="24"/>
        <v/>
      </c>
      <c r="I159" s="790">
        <f t="shared" si="21"/>
        <v>1.7</v>
      </c>
      <c r="J159" s="734">
        <f t="shared" si="22"/>
        <v>0</v>
      </c>
      <c r="K159" s="774">
        <f t="shared" si="23"/>
        <v>0</v>
      </c>
      <c r="L159" s="743"/>
      <c r="X159" s="739"/>
      <c r="Y159" s="729"/>
      <c r="Z159" s="729"/>
      <c r="AA159" s="728"/>
      <c r="AB159" s="728"/>
      <c r="AC159" s="728"/>
    </row>
    <row r="160" spans="2:29" s="730" customFormat="1" ht="12.75" x14ac:dyDescent="0.2">
      <c r="B160" s="740" t="s">
        <v>652</v>
      </c>
      <c r="C160" s="741"/>
      <c r="D160" s="2857"/>
      <c r="E160" s="2858"/>
      <c r="F160" s="2859"/>
      <c r="G160" s="732"/>
      <c r="H160" s="773" t="str">
        <f t="shared" si="24"/>
        <v/>
      </c>
      <c r="I160" s="790">
        <f t="shared" si="21"/>
        <v>1.7</v>
      </c>
      <c r="J160" s="734">
        <f t="shared" si="22"/>
        <v>0</v>
      </c>
      <c r="K160" s="774">
        <f t="shared" si="23"/>
        <v>0</v>
      </c>
      <c r="L160" s="737"/>
      <c r="X160" s="739"/>
      <c r="Y160" s="729"/>
      <c r="Z160" s="729"/>
      <c r="AA160" s="728"/>
      <c r="AB160" s="728"/>
      <c r="AC160" s="728"/>
    </row>
    <row r="161" spans="2:29" s="730" customFormat="1" ht="12.75" x14ac:dyDescent="0.2">
      <c r="B161" s="740" t="s">
        <v>653</v>
      </c>
      <c r="C161" s="741"/>
      <c r="D161" s="2857"/>
      <c r="E161" s="2858"/>
      <c r="F161" s="2859"/>
      <c r="G161" s="732"/>
      <c r="H161" s="773" t="str">
        <f t="shared" si="24"/>
        <v/>
      </c>
      <c r="I161" s="790">
        <f t="shared" si="21"/>
        <v>1.7</v>
      </c>
      <c r="J161" s="734">
        <f t="shared" si="22"/>
        <v>0</v>
      </c>
      <c r="K161" s="774">
        <f t="shared" si="23"/>
        <v>0</v>
      </c>
      <c r="L161" s="737"/>
      <c r="X161" s="739"/>
      <c r="Y161" s="729"/>
      <c r="Z161" s="729"/>
      <c r="AA161" s="728"/>
      <c r="AB161" s="728"/>
      <c r="AC161" s="728"/>
    </row>
    <row r="162" spans="2:29" s="730" customFormat="1" ht="12.75" x14ac:dyDescent="0.2">
      <c r="B162" s="740" t="s">
        <v>654</v>
      </c>
      <c r="C162" s="741"/>
      <c r="D162" s="2857"/>
      <c r="E162" s="2858"/>
      <c r="F162" s="2859"/>
      <c r="G162" s="732"/>
      <c r="H162" s="773" t="str">
        <f t="shared" si="24"/>
        <v/>
      </c>
      <c r="I162" s="790">
        <f t="shared" si="21"/>
        <v>1.7</v>
      </c>
      <c r="J162" s="734">
        <f t="shared" si="22"/>
        <v>0</v>
      </c>
      <c r="K162" s="774">
        <f t="shared" si="23"/>
        <v>0</v>
      </c>
      <c r="L162" s="737"/>
      <c r="X162" s="739"/>
      <c r="Y162" s="729"/>
      <c r="Z162" s="729"/>
      <c r="AA162" s="728"/>
      <c r="AB162" s="728"/>
      <c r="AC162" s="728"/>
    </row>
    <row r="163" spans="2:29" s="730" customFormat="1" ht="12.75" x14ac:dyDescent="0.2">
      <c r="B163" s="740" t="s">
        <v>655</v>
      </c>
      <c r="C163" s="741"/>
      <c r="D163" s="2857"/>
      <c r="E163" s="2858"/>
      <c r="F163" s="2859"/>
      <c r="G163" s="732"/>
      <c r="H163" s="773" t="str">
        <f t="shared" si="24"/>
        <v/>
      </c>
      <c r="I163" s="790">
        <f t="shared" si="21"/>
        <v>1.7</v>
      </c>
      <c r="J163" s="734">
        <f t="shared" si="22"/>
        <v>0</v>
      </c>
      <c r="K163" s="774">
        <f t="shared" si="23"/>
        <v>0</v>
      </c>
      <c r="L163" s="737"/>
      <c r="X163" s="739"/>
      <c r="Y163" s="729"/>
      <c r="Z163" s="729"/>
      <c r="AA163" s="728"/>
      <c r="AB163" s="728"/>
      <c r="AC163" s="728"/>
    </row>
    <row r="164" spans="2:29" s="730" customFormat="1" ht="12.75" x14ac:dyDescent="0.2">
      <c r="B164" s="740" t="s">
        <v>656</v>
      </c>
      <c r="C164" s="741"/>
      <c r="D164" s="2857"/>
      <c r="E164" s="2858"/>
      <c r="F164" s="2859"/>
      <c r="G164" s="732"/>
      <c r="H164" s="773" t="str">
        <f t="shared" si="24"/>
        <v/>
      </c>
      <c r="I164" s="790">
        <f t="shared" si="21"/>
        <v>1.7</v>
      </c>
      <c r="J164" s="734">
        <f t="shared" si="22"/>
        <v>0</v>
      </c>
      <c r="K164" s="774">
        <f t="shared" si="23"/>
        <v>0</v>
      </c>
      <c r="L164" s="737"/>
      <c r="X164" s="739"/>
      <c r="Y164" s="729"/>
      <c r="Z164" s="729"/>
      <c r="AA164" s="728"/>
      <c r="AB164" s="728"/>
      <c r="AC164" s="728"/>
    </row>
    <row r="165" spans="2:29" s="730" customFormat="1" ht="12.75" x14ac:dyDescent="0.2">
      <c r="B165" s="740" t="s">
        <v>657</v>
      </c>
      <c r="C165" s="741"/>
      <c r="D165" s="2857"/>
      <c r="E165" s="2858"/>
      <c r="F165" s="2859"/>
      <c r="G165" s="732"/>
      <c r="H165" s="773" t="str">
        <f t="shared" si="24"/>
        <v/>
      </c>
      <c r="I165" s="790">
        <f t="shared" si="21"/>
        <v>1.7</v>
      </c>
      <c r="J165" s="734">
        <f t="shared" si="22"/>
        <v>0</v>
      </c>
      <c r="K165" s="774">
        <f t="shared" si="23"/>
        <v>0</v>
      </c>
      <c r="L165" s="737"/>
      <c r="X165" s="739"/>
      <c r="Y165" s="729"/>
      <c r="Z165" s="729"/>
      <c r="AA165" s="728"/>
      <c r="AB165" s="728"/>
      <c r="AC165" s="728"/>
    </row>
    <row r="166" spans="2:29" s="730" customFormat="1" ht="12.75" x14ac:dyDescent="0.2">
      <c r="B166" s="740" t="s">
        <v>658</v>
      </c>
      <c r="C166" s="741"/>
      <c r="D166" s="2857"/>
      <c r="E166" s="2858"/>
      <c r="F166" s="2859"/>
      <c r="G166" s="732"/>
      <c r="H166" s="773" t="str">
        <f>IF(G166&lt;&gt;"",1,"")</f>
        <v/>
      </c>
      <c r="I166" s="790">
        <f t="shared" si="21"/>
        <v>1.7</v>
      </c>
      <c r="J166" s="734">
        <f t="shared" si="22"/>
        <v>0</v>
      </c>
      <c r="K166" s="774">
        <f t="shared" si="23"/>
        <v>0</v>
      </c>
      <c r="L166" s="737"/>
      <c r="X166" s="739"/>
      <c r="Y166" s="729"/>
      <c r="Z166" s="729"/>
      <c r="AA166" s="728"/>
      <c r="AB166" s="728"/>
      <c r="AC166" s="728"/>
    </row>
    <row r="167" spans="2:29" s="730" customFormat="1" ht="12.75" x14ac:dyDescent="0.2">
      <c r="B167" s="740" t="s">
        <v>659</v>
      </c>
      <c r="C167" s="741"/>
      <c r="D167" s="2857"/>
      <c r="E167" s="2858"/>
      <c r="F167" s="2859"/>
      <c r="G167" s="732"/>
      <c r="H167" s="773" t="str">
        <f t="shared" si="24"/>
        <v/>
      </c>
      <c r="I167" s="790">
        <f t="shared" si="21"/>
        <v>1.7</v>
      </c>
      <c r="J167" s="734">
        <f t="shared" si="22"/>
        <v>0</v>
      </c>
      <c r="K167" s="774">
        <f t="shared" si="23"/>
        <v>0</v>
      </c>
      <c r="L167" s="737"/>
      <c r="X167" s="739"/>
      <c r="Y167" s="729"/>
      <c r="Z167" s="729"/>
      <c r="AA167" s="728"/>
      <c r="AB167" s="728"/>
      <c r="AC167" s="728"/>
    </row>
    <row r="168" spans="2:29" s="730" customFormat="1" ht="12.75" x14ac:dyDescent="0.2">
      <c r="B168" s="740" t="s">
        <v>660</v>
      </c>
      <c r="C168" s="741"/>
      <c r="D168" s="2857"/>
      <c r="E168" s="2858"/>
      <c r="F168" s="2859"/>
      <c r="G168" s="732"/>
      <c r="H168" s="773" t="str">
        <f t="shared" si="24"/>
        <v/>
      </c>
      <c r="I168" s="790">
        <f t="shared" si="21"/>
        <v>1.7</v>
      </c>
      <c r="J168" s="734">
        <f t="shared" si="22"/>
        <v>0</v>
      </c>
      <c r="K168" s="774">
        <f t="shared" si="23"/>
        <v>0</v>
      </c>
      <c r="L168" s="737"/>
      <c r="X168" s="739"/>
      <c r="Y168" s="729"/>
      <c r="Z168" s="729"/>
      <c r="AA168" s="728"/>
      <c r="AB168" s="728"/>
      <c r="AC168" s="728"/>
    </row>
    <row r="169" spans="2:29" s="730" customFormat="1" ht="12.75" x14ac:dyDescent="0.2">
      <c r="B169" s="740" t="s">
        <v>661</v>
      </c>
      <c r="C169" s="741"/>
      <c r="D169" s="2857"/>
      <c r="E169" s="2858"/>
      <c r="F169" s="2859"/>
      <c r="G169" s="732"/>
      <c r="H169" s="773" t="str">
        <f t="shared" si="24"/>
        <v/>
      </c>
      <c r="I169" s="790">
        <f t="shared" si="21"/>
        <v>1.7</v>
      </c>
      <c r="J169" s="734">
        <f t="shared" si="22"/>
        <v>0</v>
      </c>
      <c r="K169" s="774">
        <f t="shared" si="23"/>
        <v>0</v>
      </c>
      <c r="L169" s="743"/>
      <c r="X169" s="739"/>
      <c r="Y169" s="729"/>
      <c r="Z169" s="729"/>
      <c r="AA169" s="728"/>
      <c r="AB169" s="728"/>
      <c r="AC169" s="728"/>
    </row>
    <row r="170" spans="2:29" s="730" customFormat="1" ht="12.75" x14ac:dyDescent="0.2">
      <c r="B170" s="740" t="s">
        <v>662</v>
      </c>
      <c r="C170" s="741"/>
      <c r="D170" s="2857"/>
      <c r="E170" s="2858"/>
      <c r="F170" s="2859"/>
      <c r="G170" s="732"/>
      <c r="H170" s="773" t="str">
        <f t="shared" si="24"/>
        <v/>
      </c>
      <c r="I170" s="790">
        <f t="shared" si="21"/>
        <v>1.7</v>
      </c>
      <c r="J170" s="734">
        <f t="shared" si="22"/>
        <v>0</v>
      </c>
      <c r="K170" s="774">
        <f t="shared" si="23"/>
        <v>0</v>
      </c>
      <c r="L170" s="737"/>
      <c r="X170" s="739"/>
      <c r="Y170" s="729"/>
      <c r="Z170" s="729"/>
      <c r="AA170" s="728"/>
      <c r="AB170" s="728"/>
      <c r="AC170" s="728"/>
    </row>
    <row r="171" spans="2:29" s="730" customFormat="1" ht="12.75" x14ac:dyDescent="0.2">
      <c r="B171" s="740" t="s">
        <v>663</v>
      </c>
      <c r="C171" s="741"/>
      <c r="D171" s="2857"/>
      <c r="E171" s="2858"/>
      <c r="F171" s="2859"/>
      <c r="G171" s="732"/>
      <c r="H171" s="773" t="str">
        <f t="shared" si="24"/>
        <v/>
      </c>
      <c r="I171" s="790">
        <f t="shared" si="21"/>
        <v>1.7</v>
      </c>
      <c r="J171" s="734">
        <f t="shared" si="22"/>
        <v>0</v>
      </c>
      <c r="K171" s="774">
        <f t="shared" si="23"/>
        <v>0</v>
      </c>
      <c r="L171" s="737"/>
      <c r="X171" s="739"/>
      <c r="Y171" s="729"/>
      <c r="Z171" s="729"/>
      <c r="AA171" s="728"/>
      <c r="AB171" s="728"/>
      <c r="AC171" s="728"/>
    </row>
    <row r="172" spans="2:29" s="730" customFormat="1" ht="12.75" x14ac:dyDescent="0.2">
      <c r="B172" s="740" t="s">
        <v>664</v>
      </c>
      <c r="C172" s="741"/>
      <c r="D172" s="2857"/>
      <c r="E172" s="2858"/>
      <c r="F172" s="2859"/>
      <c r="G172" s="732"/>
      <c r="H172" s="773" t="str">
        <f t="shared" si="24"/>
        <v/>
      </c>
      <c r="I172" s="790">
        <f t="shared" si="21"/>
        <v>1.7</v>
      </c>
      <c r="J172" s="734">
        <f t="shared" si="22"/>
        <v>0</v>
      </c>
      <c r="K172" s="774">
        <f t="shared" si="23"/>
        <v>0</v>
      </c>
      <c r="L172" s="737"/>
      <c r="X172" s="739"/>
      <c r="Y172" s="729"/>
      <c r="Z172" s="729"/>
      <c r="AA172" s="728"/>
      <c r="AB172" s="728"/>
      <c r="AC172" s="728"/>
    </row>
    <row r="173" spans="2:29" s="730" customFormat="1" ht="12.75" x14ac:dyDescent="0.2">
      <c r="B173" s="740" t="s">
        <v>665</v>
      </c>
      <c r="C173" s="741"/>
      <c r="D173" s="2857"/>
      <c r="E173" s="2858"/>
      <c r="F173" s="2859"/>
      <c r="G173" s="732"/>
      <c r="H173" s="773" t="str">
        <f t="shared" si="24"/>
        <v/>
      </c>
      <c r="I173" s="790">
        <f t="shared" si="21"/>
        <v>1.7</v>
      </c>
      <c r="J173" s="734">
        <f t="shared" si="22"/>
        <v>0</v>
      </c>
      <c r="K173" s="774">
        <f t="shared" si="23"/>
        <v>0</v>
      </c>
      <c r="L173" s="737"/>
      <c r="X173" s="739"/>
      <c r="Y173" s="729"/>
      <c r="Z173" s="729"/>
      <c r="AA173" s="728"/>
      <c r="AB173" s="728"/>
      <c r="AC173" s="728"/>
    </row>
    <row r="174" spans="2:29" s="730" customFormat="1" ht="12.75" x14ac:dyDescent="0.2">
      <c r="B174" s="1955" t="s">
        <v>666</v>
      </c>
      <c r="C174" s="1942"/>
      <c r="D174" s="2895"/>
      <c r="E174" s="2911"/>
      <c r="F174" s="2896"/>
      <c r="G174" s="1942"/>
      <c r="H174" s="1943" t="str">
        <f t="shared" si="24"/>
        <v/>
      </c>
      <c r="I174" s="1957">
        <f t="shared" si="21"/>
        <v>1.7</v>
      </c>
      <c r="J174" s="1944">
        <f t="shared" si="22"/>
        <v>0</v>
      </c>
      <c r="K174" s="1956">
        <f t="shared" si="23"/>
        <v>0</v>
      </c>
      <c r="L174" s="737"/>
      <c r="X174" s="739"/>
      <c r="Y174" s="729"/>
      <c r="Z174" s="729"/>
      <c r="AA174" s="728"/>
      <c r="AB174" s="728"/>
      <c r="AC174" s="728"/>
    </row>
    <row r="175" spans="2:29" s="730" customFormat="1" ht="12.75" x14ac:dyDescent="0.2">
      <c r="B175" s="1953" t="s">
        <v>667</v>
      </c>
      <c r="C175" s="1948"/>
      <c r="D175" s="2897"/>
      <c r="E175" s="2898"/>
      <c r="F175" s="2899"/>
      <c r="G175" s="1948"/>
      <c r="H175" s="1949" t="str">
        <f t="shared" si="24"/>
        <v/>
      </c>
      <c r="I175" s="1958">
        <f t="shared" si="21"/>
        <v>1.7</v>
      </c>
      <c r="J175" s="1950">
        <f t="shared" si="22"/>
        <v>0</v>
      </c>
      <c r="K175" s="1954">
        <f t="shared" si="23"/>
        <v>0</v>
      </c>
      <c r="L175" s="737"/>
      <c r="X175" s="739"/>
      <c r="Y175" s="729"/>
      <c r="Z175" s="729"/>
      <c r="AA175" s="728"/>
      <c r="AB175" s="728"/>
      <c r="AC175" s="728"/>
    </row>
    <row r="176" spans="2:29" s="730" customFormat="1" ht="12.75" x14ac:dyDescent="0.2">
      <c r="B176" s="740" t="s">
        <v>668</v>
      </c>
      <c r="C176" s="741"/>
      <c r="D176" s="2857"/>
      <c r="E176" s="2858"/>
      <c r="F176" s="2859"/>
      <c r="G176" s="732"/>
      <c r="H176" s="773" t="str">
        <f>IF(G176&lt;&gt;"",1,"")</f>
        <v/>
      </c>
      <c r="I176" s="790">
        <f t="shared" si="21"/>
        <v>1.7</v>
      </c>
      <c r="J176" s="734">
        <f t="shared" si="22"/>
        <v>0</v>
      </c>
      <c r="K176" s="774">
        <f t="shared" si="23"/>
        <v>0</v>
      </c>
      <c r="L176" s="737"/>
      <c r="X176" s="739"/>
      <c r="Y176" s="729"/>
      <c r="Z176" s="729"/>
      <c r="AA176" s="728"/>
      <c r="AB176" s="728"/>
      <c r="AC176" s="728"/>
    </row>
    <row r="177" spans="2:29" s="730" customFormat="1" ht="12.75" x14ac:dyDescent="0.2">
      <c r="B177" s="740" t="s">
        <v>669</v>
      </c>
      <c r="C177" s="741"/>
      <c r="D177" s="2857"/>
      <c r="E177" s="2858"/>
      <c r="F177" s="2859"/>
      <c r="G177" s="732"/>
      <c r="H177" s="773" t="str">
        <f t="shared" ref="H177:H185" si="25">IF(G177&lt;&gt;"",1,"")</f>
        <v/>
      </c>
      <c r="I177" s="790">
        <f t="shared" si="21"/>
        <v>1.7</v>
      </c>
      <c r="J177" s="734">
        <f t="shared" si="22"/>
        <v>0</v>
      </c>
      <c r="K177" s="774">
        <f t="shared" si="23"/>
        <v>0</v>
      </c>
      <c r="L177" s="737"/>
      <c r="X177" s="739"/>
      <c r="Y177" s="729"/>
      <c r="Z177" s="729"/>
      <c r="AA177" s="728"/>
      <c r="AB177" s="728"/>
      <c r="AC177" s="728"/>
    </row>
    <row r="178" spans="2:29" s="730" customFormat="1" ht="12.75" x14ac:dyDescent="0.2">
      <c r="B178" s="740" t="s">
        <v>670</v>
      </c>
      <c r="C178" s="741"/>
      <c r="D178" s="2857"/>
      <c r="E178" s="2858"/>
      <c r="F178" s="2859"/>
      <c r="G178" s="732"/>
      <c r="H178" s="773" t="str">
        <f t="shared" si="25"/>
        <v/>
      </c>
      <c r="I178" s="790">
        <f t="shared" si="21"/>
        <v>1.7</v>
      </c>
      <c r="J178" s="734">
        <f t="shared" si="22"/>
        <v>0</v>
      </c>
      <c r="K178" s="774">
        <f t="shared" si="23"/>
        <v>0</v>
      </c>
      <c r="L178" s="737"/>
      <c r="X178" s="739"/>
      <c r="Y178" s="729"/>
      <c r="Z178" s="729"/>
      <c r="AA178" s="728"/>
      <c r="AB178" s="728"/>
      <c r="AC178" s="728"/>
    </row>
    <row r="179" spans="2:29" s="730" customFormat="1" ht="12.75" x14ac:dyDescent="0.2">
      <c r="B179" s="740" t="s">
        <v>671</v>
      </c>
      <c r="C179" s="741"/>
      <c r="D179" s="2857"/>
      <c r="E179" s="2858"/>
      <c r="F179" s="2859"/>
      <c r="G179" s="732"/>
      <c r="H179" s="773" t="str">
        <f t="shared" si="25"/>
        <v/>
      </c>
      <c r="I179" s="790">
        <f t="shared" si="21"/>
        <v>1.7</v>
      </c>
      <c r="J179" s="734">
        <f t="shared" si="22"/>
        <v>0</v>
      </c>
      <c r="K179" s="774">
        <f t="shared" si="23"/>
        <v>0</v>
      </c>
      <c r="L179" s="743"/>
      <c r="X179" s="739"/>
      <c r="Y179" s="729"/>
      <c r="Z179" s="729"/>
      <c r="AA179" s="728"/>
      <c r="AB179" s="728"/>
      <c r="AC179" s="728"/>
    </row>
    <row r="180" spans="2:29" s="730" customFormat="1" ht="12.75" x14ac:dyDescent="0.2">
      <c r="B180" s="740" t="s">
        <v>672</v>
      </c>
      <c r="C180" s="741"/>
      <c r="D180" s="2857"/>
      <c r="E180" s="2858"/>
      <c r="F180" s="2859"/>
      <c r="G180" s="732"/>
      <c r="H180" s="773" t="str">
        <f t="shared" si="25"/>
        <v/>
      </c>
      <c r="I180" s="790">
        <f t="shared" si="21"/>
        <v>1.7</v>
      </c>
      <c r="J180" s="734">
        <f t="shared" si="22"/>
        <v>0</v>
      </c>
      <c r="K180" s="774">
        <f t="shared" si="23"/>
        <v>0</v>
      </c>
      <c r="L180" s="737"/>
      <c r="X180" s="739"/>
      <c r="Y180" s="729"/>
      <c r="Z180" s="729"/>
      <c r="AA180" s="728"/>
      <c r="AB180" s="728"/>
      <c r="AC180" s="728"/>
    </row>
    <row r="181" spans="2:29" s="730" customFormat="1" ht="12.75" x14ac:dyDescent="0.2">
      <c r="B181" s="740" t="s">
        <v>673</v>
      </c>
      <c r="C181" s="741"/>
      <c r="D181" s="2857"/>
      <c r="E181" s="2858"/>
      <c r="F181" s="2859"/>
      <c r="G181" s="732"/>
      <c r="H181" s="773" t="str">
        <f t="shared" si="25"/>
        <v/>
      </c>
      <c r="I181" s="790">
        <f t="shared" si="21"/>
        <v>1.7</v>
      </c>
      <c r="J181" s="734">
        <f t="shared" si="22"/>
        <v>0</v>
      </c>
      <c r="K181" s="774">
        <f t="shared" si="23"/>
        <v>0</v>
      </c>
      <c r="L181" s="737"/>
      <c r="X181" s="739"/>
      <c r="Y181" s="729"/>
      <c r="Z181" s="729"/>
      <c r="AA181" s="728"/>
      <c r="AB181" s="728"/>
      <c r="AC181" s="728"/>
    </row>
    <row r="182" spans="2:29" s="730" customFormat="1" ht="12.75" x14ac:dyDescent="0.2">
      <c r="B182" s="740" t="s">
        <v>674</v>
      </c>
      <c r="C182" s="741"/>
      <c r="D182" s="2857"/>
      <c r="E182" s="2858"/>
      <c r="F182" s="2859"/>
      <c r="G182" s="732"/>
      <c r="H182" s="773" t="str">
        <f t="shared" si="25"/>
        <v/>
      </c>
      <c r="I182" s="790">
        <f t="shared" si="21"/>
        <v>1.7</v>
      </c>
      <c r="J182" s="734">
        <f t="shared" si="22"/>
        <v>0</v>
      </c>
      <c r="K182" s="774">
        <f t="shared" si="23"/>
        <v>0</v>
      </c>
      <c r="L182" s="737"/>
      <c r="X182" s="739"/>
      <c r="Y182" s="729"/>
      <c r="Z182" s="729"/>
      <c r="AA182" s="728"/>
      <c r="AB182" s="728"/>
      <c r="AC182" s="728"/>
    </row>
    <row r="183" spans="2:29" s="730" customFormat="1" ht="12.75" x14ac:dyDescent="0.2">
      <c r="B183" s="740" t="s">
        <v>675</v>
      </c>
      <c r="C183" s="741"/>
      <c r="D183" s="2857"/>
      <c r="E183" s="2858"/>
      <c r="F183" s="2859"/>
      <c r="G183" s="732"/>
      <c r="H183" s="773" t="str">
        <f t="shared" si="25"/>
        <v/>
      </c>
      <c r="I183" s="790">
        <f t="shared" si="21"/>
        <v>1.7</v>
      </c>
      <c r="J183" s="734">
        <f t="shared" si="22"/>
        <v>0</v>
      </c>
      <c r="K183" s="774">
        <f t="shared" si="23"/>
        <v>0</v>
      </c>
      <c r="L183" s="737"/>
      <c r="X183" s="739"/>
      <c r="Y183" s="729"/>
      <c r="Z183" s="729"/>
      <c r="AA183" s="728"/>
      <c r="AB183" s="728"/>
      <c r="AC183" s="728"/>
    </row>
    <row r="184" spans="2:29" s="730" customFormat="1" ht="12.75" x14ac:dyDescent="0.2">
      <c r="B184" s="740" t="s">
        <v>676</v>
      </c>
      <c r="C184" s="741"/>
      <c r="D184" s="2857"/>
      <c r="E184" s="2858"/>
      <c r="F184" s="2859"/>
      <c r="G184" s="732"/>
      <c r="H184" s="773" t="str">
        <f t="shared" si="25"/>
        <v/>
      </c>
      <c r="I184" s="790">
        <f t="shared" si="21"/>
        <v>1.7</v>
      </c>
      <c r="J184" s="734">
        <f t="shared" si="22"/>
        <v>0</v>
      </c>
      <c r="K184" s="774">
        <f t="shared" si="23"/>
        <v>0</v>
      </c>
      <c r="L184" s="737"/>
      <c r="X184" s="739"/>
      <c r="Y184" s="729"/>
      <c r="Z184" s="729"/>
      <c r="AA184" s="728"/>
      <c r="AB184" s="728"/>
      <c r="AC184" s="728"/>
    </row>
    <row r="185" spans="2:29" s="730" customFormat="1" ht="12.75" x14ac:dyDescent="0.2">
      <c r="B185" s="740" t="s">
        <v>677</v>
      </c>
      <c r="C185" s="1965"/>
      <c r="D185" s="2888"/>
      <c r="E185" s="2858"/>
      <c r="F185" s="2859"/>
      <c r="G185" s="732"/>
      <c r="H185" s="773" t="str">
        <f t="shared" si="25"/>
        <v/>
      </c>
      <c r="I185" s="790">
        <f t="shared" si="21"/>
        <v>1.7</v>
      </c>
      <c r="J185" s="734">
        <f t="shared" si="22"/>
        <v>0</v>
      </c>
      <c r="K185" s="774">
        <f t="shared" si="23"/>
        <v>0</v>
      </c>
      <c r="L185" s="737"/>
      <c r="X185" s="739"/>
      <c r="Y185" s="729"/>
      <c r="Z185" s="729"/>
      <c r="AA185" s="728"/>
      <c r="AB185" s="728"/>
      <c r="AC185" s="728"/>
    </row>
    <row r="186" spans="2:29" ht="21" customHeight="1" x14ac:dyDescent="0.2">
      <c r="B186" s="802"/>
      <c r="C186" s="803"/>
      <c r="D186" s="804"/>
      <c r="E186" s="805"/>
      <c r="F186" s="806"/>
      <c r="G186" s="806"/>
      <c r="H186" s="807"/>
      <c r="I186" s="781" t="s">
        <v>456</v>
      </c>
      <c r="J186" s="782">
        <f>SUM(J156:J185)</f>
        <v>71.399999999999991</v>
      </c>
      <c r="K186" s="783">
        <f>SUM(K156:K185)</f>
        <v>4.76</v>
      </c>
      <c r="L186" s="808"/>
    </row>
    <row r="187" spans="2:29" s="818" customFormat="1" ht="12.75" customHeight="1" x14ac:dyDescent="0.2">
      <c r="B187" s="809"/>
      <c r="C187" s="810"/>
      <c r="D187" s="811"/>
      <c r="E187" s="812"/>
      <c r="F187" s="813"/>
      <c r="G187" s="813"/>
      <c r="H187" s="813"/>
      <c r="I187" s="814"/>
      <c r="J187" s="815"/>
      <c r="K187" s="816"/>
      <c r="L187" s="817"/>
      <c r="X187" s="819"/>
      <c r="Y187" s="819"/>
      <c r="Z187" s="819"/>
    </row>
    <row r="188" spans="2:29" s="676" customFormat="1" ht="21" customHeight="1" x14ac:dyDescent="0.2">
      <c r="B188" s="685">
        <v>1.2</v>
      </c>
      <c r="C188" s="686" t="s">
        <v>682</v>
      </c>
      <c r="D188" s="687"/>
      <c r="E188" s="688"/>
      <c r="F188" s="688"/>
      <c r="G188" s="689"/>
      <c r="H188" s="689"/>
      <c r="I188" s="689"/>
      <c r="J188" s="689"/>
      <c r="K188" s="690"/>
      <c r="L188" s="691"/>
      <c r="X188" s="684"/>
      <c r="Y188" s="684"/>
      <c r="Z188" s="684"/>
    </row>
    <row r="189" spans="2:29" s="676" customFormat="1" ht="19.5" customHeight="1" x14ac:dyDescent="0.2">
      <c r="B189" s="820"/>
      <c r="C189" s="821" t="s">
        <v>683</v>
      </c>
      <c r="D189" s="694"/>
      <c r="E189" s="695"/>
      <c r="F189" s="695"/>
      <c r="G189" s="696" t="s">
        <v>633</v>
      </c>
      <c r="H189" s="822"/>
      <c r="I189" s="787"/>
      <c r="J189" s="697"/>
      <c r="K189" s="823"/>
      <c r="L189" s="824"/>
      <c r="X189" s="684"/>
      <c r="Y189" s="684"/>
      <c r="Z189" s="684"/>
    </row>
    <row r="190" spans="2:29" x14ac:dyDescent="0.2">
      <c r="B190" s="700"/>
      <c r="C190" s="701" t="s">
        <v>634</v>
      </c>
      <c r="D190" s="2861" t="s">
        <v>635</v>
      </c>
      <c r="E190" s="2863"/>
      <c r="F190" s="1189" t="s">
        <v>449</v>
      </c>
      <c r="G190" s="825" t="s">
        <v>636</v>
      </c>
      <c r="H190" s="704" t="s">
        <v>449</v>
      </c>
      <c r="I190" s="705" t="s">
        <v>638</v>
      </c>
      <c r="J190" s="705" t="s">
        <v>639</v>
      </c>
      <c r="K190" s="826" t="s">
        <v>639</v>
      </c>
      <c r="L190" s="657"/>
    </row>
    <row r="191" spans="2:29" x14ac:dyDescent="0.2">
      <c r="B191" s="764"/>
      <c r="C191" s="765"/>
      <c r="D191" s="2908" t="s">
        <v>1199</v>
      </c>
      <c r="E191" s="2910"/>
      <c r="F191" s="1416" t="s">
        <v>640</v>
      </c>
      <c r="G191" s="827" t="s">
        <v>641</v>
      </c>
      <c r="H191" s="767" t="s">
        <v>643</v>
      </c>
      <c r="I191" s="713" t="s">
        <v>644</v>
      </c>
      <c r="J191" s="713" t="s">
        <v>641</v>
      </c>
      <c r="K191" s="706" t="s">
        <v>510</v>
      </c>
      <c r="L191" s="737"/>
    </row>
    <row r="192" spans="2:29" x14ac:dyDescent="0.2">
      <c r="B192" s="715"/>
      <c r="C192" s="768"/>
      <c r="D192" s="2877" t="s">
        <v>1243</v>
      </c>
      <c r="E192" s="2878"/>
      <c r="F192" s="1764"/>
      <c r="G192" s="829"/>
      <c r="H192" s="830"/>
      <c r="I192" s="720"/>
      <c r="J192" s="720"/>
      <c r="K192" s="721"/>
      <c r="L192" s="831"/>
    </row>
    <row r="193" spans="2:26" s="818" customFormat="1" x14ac:dyDescent="0.2">
      <c r="B193" s="832" t="s">
        <v>646</v>
      </c>
      <c r="C193" s="833" t="s">
        <v>684</v>
      </c>
      <c r="D193" s="834" t="s">
        <v>1200</v>
      </c>
      <c r="E193" s="835"/>
      <c r="F193" s="1765">
        <v>5</v>
      </c>
      <c r="G193" s="837">
        <v>30</v>
      </c>
      <c r="H193" s="833">
        <v>1</v>
      </c>
      <c r="I193" s="833">
        <f>IF(AND(F193&lt;&gt;"",F193&lt;&gt;0),IF(F193&gt;=10,4.5,3),3)</f>
        <v>3</v>
      </c>
      <c r="J193" s="838">
        <f>IF(AND(F193&lt;&gt;"",F193&lt;&gt;0),H193*G193*I193,0)</f>
        <v>90</v>
      </c>
      <c r="K193" s="839">
        <f t="shared" ref="K193:K203" si="26">J193/15</f>
        <v>6</v>
      </c>
      <c r="L193" s="840"/>
      <c r="X193" s="819"/>
      <c r="Y193" s="819"/>
      <c r="Z193" s="819"/>
    </row>
    <row r="194" spans="2:26" s="818" customFormat="1" ht="12.75" x14ac:dyDescent="0.2">
      <c r="B194" s="740" t="s">
        <v>648</v>
      </c>
      <c r="C194" s="1965" t="s">
        <v>684</v>
      </c>
      <c r="D194" s="2912" t="s">
        <v>1200</v>
      </c>
      <c r="E194" s="2914"/>
      <c r="F194" s="1766">
        <v>4</v>
      </c>
      <c r="G194" s="732">
        <v>4</v>
      </c>
      <c r="H194" s="773">
        <f>IF(G194&lt;&gt;"",1,"")</f>
        <v>1</v>
      </c>
      <c r="I194" s="841">
        <f>IF(AND(F194&lt;&gt;"",F194&lt;&gt;0),IF(F194&gt;=10,4.5,3),3)</f>
        <v>3</v>
      </c>
      <c r="J194" s="842">
        <f>IF(AND(F194&lt;&gt;"",F194&lt;&gt;0,G194&lt;&gt;"",G194&lt;&gt;0),H194*G194*I194,0)</f>
        <v>12</v>
      </c>
      <c r="K194" s="774">
        <f t="shared" si="26"/>
        <v>0.8</v>
      </c>
      <c r="L194" s="737"/>
      <c r="X194" s="819"/>
      <c r="Y194" s="819"/>
      <c r="Z194" s="819"/>
    </row>
    <row r="195" spans="2:26" s="818" customFormat="1" ht="12.75" x14ac:dyDescent="0.2">
      <c r="B195" s="740" t="s">
        <v>649</v>
      </c>
      <c r="C195" s="1965" t="s">
        <v>1290</v>
      </c>
      <c r="D195" s="2912" t="s">
        <v>1291</v>
      </c>
      <c r="E195" s="2914"/>
      <c r="F195" s="1766">
        <v>3</v>
      </c>
      <c r="G195" s="732">
        <v>18</v>
      </c>
      <c r="H195" s="773">
        <f t="shared" ref="H195:H203" si="27">IF(G195&lt;&gt;"",1,"")</f>
        <v>1</v>
      </c>
      <c r="I195" s="841">
        <f t="shared" ref="I195:I203" si="28">IF(AND(F195&lt;&gt;"",F195&lt;&gt;0),IF(F195&gt;=10,4.5,3),3)</f>
        <v>3</v>
      </c>
      <c r="J195" s="842">
        <f t="shared" ref="J195:J203" si="29">IF(AND(F195&lt;&gt;"",F195&lt;&gt;0,G195&lt;&gt;"",G195&lt;&gt;0),H195*G195*I195,0)</f>
        <v>54</v>
      </c>
      <c r="K195" s="774">
        <f t="shared" si="26"/>
        <v>3.6</v>
      </c>
      <c r="L195" s="737"/>
      <c r="X195" s="819"/>
      <c r="Y195" s="819"/>
      <c r="Z195" s="819"/>
    </row>
    <row r="196" spans="2:26" s="818" customFormat="1" ht="12.75" x14ac:dyDescent="0.2">
      <c r="B196" s="740" t="s">
        <v>650</v>
      </c>
      <c r="C196" s="741"/>
      <c r="D196" s="2921"/>
      <c r="E196" s="2914"/>
      <c r="F196" s="1766"/>
      <c r="G196" s="732"/>
      <c r="H196" s="773" t="str">
        <f t="shared" si="27"/>
        <v/>
      </c>
      <c r="I196" s="841">
        <f t="shared" si="28"/>
        <v>3</v>
      </c>
      <c r="J196" s="842">
        <f t="shared" si="29"/>
        <v>0</v>
      </c>
      <c r="K196" s="774">
        <f t="shared" si="26"/>
        <v>0</v>
      </c>
      <c r="L196" s="737"/>
      <c r="X196" s="819"/>
      <c r="Y196" s="819"/>
      <c r="Z196" s="819"/>
    </row>
    <row r="197" spans="2:26" s="818" customFormat="1" ht="12.75" x14ac:dyDescent="0.2">
      <c r="B197" s="740" t="s">
        <v>651</v>
      </c>
      <c r="C197" s="741"/>
      <c r="D197" s="2921"/>
      <c r="E197" s="2914"/>
      <c r="F197" s="1766"/>
      <c r="G197" s="732"/>
      <c r="H197" s="773" t="str">
        <f t="shared" si="27"/>
        <v/>
      </c>
      <c r="I197" s="841">
        <f t="shared" si="28"/>
        <v>3</v>
      </c>
      <c r="J197" s="842">
        <f t="shared" si="29"/>
        <v>0</v>
      </c>
      <c r="K197" s="774">
        <f t="shared" si="26"/>
        <v>0</v>
      </c>
      <c r="L197" s="737"/>
      <c r="X197" s="819"/>
      <c r="Y197" s="819"/>
      <c r="Z197" s="819"/>
    </row>
    <row r="198" spans="2:26" s="818" customFormat="1" ht="12.75" x14ac:dyDescent="0.2">
      <c r="B198" s="740" t="s">
        <v>652</v>
      </c>
      <c r="C198" s="741"/>
      <c r="D198" s="2921"/>
      <c r="E198" s="2914"/>
      <c r="F198" s="1766"/>
      <c r="G198" s="732"/>
      <c r="H198" s="773" t="str">
        <f t="shared" si="27"/>
        <v/>
      </c>
      <c r="I198" s="841">
        <f t="shared" si="28"/>
        <v>3</v>
      </c>
      <c r="J198" s="842">
        <f t="shared" si="29"/>
        <v>0</v>
      </c>
      <c r="K198" s="774">
        <f t="shared" si="26"/>
        <v>0</v>
      </c>
      <c r="L198" s="737"/>
      <c r="X198" s="819"/>
      <c r="Y198" s="819"/>
      <c r="Z198" s="819"/>
    </row>
    <row r="199" spans="2:26" s="818" customFormat="1" ht="12.75" x14ac:dyDescent="0.2">
      <c r="B199" s="740" t="s">
        <v>653</v>
      </c>
      <c r="C199" s="741"/>
      <c r="D199" s="2921"/>
      <c r="E199" s="2914"/>
      <c r="F199" s="1766"/>
      <c r="G199" s="732"/>
      <c r="H199" s="773" t="str">
        <f>IF(G199&lt;&gt;"",1,"")</f>
        <v/>
      </c>
      <c r="I199" s="841">
        <f t="shared" si="28"/>
        <v>3</v>
      </c>
      <c r="J199" s="842">
        <f t="shared" si="29"/>
        <v>0</v>
      </c>
      <c r="K199" s="774">
        <f t="shared" si="26"/>
        <v>0</v>
      </c>
      <c r="L199" s="737"/>
      <c r="X199" s="819"/>
      <c r="Y199" s="819"/>
      <c r="Z199" s="819"/>
    </row>
    <row r="200" spans="2:26" s="818" customFormat="1" ht="12.75" x14ac:dyDescent="0.2">
      <c r="B200" s="740" t="s">
        <v>654</v>
      </c>
      <c r="C200" s="741"/>
      <c r="D200" s="2921"/>
      <c r="E200" s="2914"/>
      <c r="F200" s="1766"/>
      <c r="G200" s="732"/>
      <c r="H200" s="773" t="str">
        <f t="shared" si="27"/>
        <v/>
      </c>
      <c r="I200" s="841">
        <f t="shared" si="28"/>
        <v>3</v>
      </c>
      <c r="J200" s="842">
        <f t="shared" si="29"/>
        <v>0</v>
      </c>
      <c r="K200" s="774">
        <f t="shared" si="26"/>
        <v>0</v>
      </c>
      <c r="L200" s="737"/>
      <c r="X200" s="819"/>
      <c r="Y200" s="819"/>
      <c r="Z200" s="819"/>
    </row>
    <row r="201" spans="2:26" s="818" customFormat="1" ht="12.75" x14ac:dyDescent="0.2">
      <c r="B201" s="740" t="s">
        <v>655</v>
      </c>
      <c r="C201" s="741"/>
      <c r="D201" s="2921"/>
      <c r="E201" s="2914"/>
      <c r="F201" s="1766"/>
      <c r="G201" s="732"/>
      <c r="H201" s="773" t="str">
        <f t="shared" si="27"/>
        <v/>
      </c>
      <c r="I201" s="841">
        <f t="shared" si="28"/>
        <v>3</v>
      </c>
      <c r="J201" s="842">
        <f t="shared" si="29"/>
        <v>0</v>
      </c>
      <c r="K201" s="774">
        <f t="shared" si="26"/>
        <v>0</v>
      </c>
      <c r="L201" s="737"/>
      <c r="X201" s="819"/>
      <c r="Y201" s="819"/>
      <c r="Z201" s="819"/>
    </row>
    <row r="202" spans="2:26" s="818" customFormat="1" ht="12.75" x14ac:dyDescent="0.2">
      <c r="B202" s="740" t="s">
        <v>656</v>
      </c>
      <c r="C202" s="741"/>
      <c r="D202" s="2921"/>
      <c r="E202" s="2914"/>
      <c r="F202" s="1766"/>
      <c r="G202" s="732"/>
      <c r="H202" s="773" t="str">
        <f t="shared" si="27"/>
        <v/>
      </c>
      <c r="I202" s="841">
        <f t="shared" si="28"/>
        <v>3</v>
      </c>
      <c r="J202" s="842">
        <f t="shared" si="29"/>
        <v>0</v>
      </c>
      <c r="K202" s="774">
        <f t="shared" si="26"/>
        <v>0</v>
      </c>
      <c r="L202" s="737"/>
      <c r="X202" s="819"/>
      <c r="Y202" s="819"/>
      <c r="Z202" s="819"/>
    </row>
    <row r="203" spans="2:26" s="818" customFormat="1" ht="12.75" x14ac:dyDescent="0.2">
      <c r="B203" s="740" t="s">
        <v>657</v>
      </c>
      <c r="C203" s="741"/>
      <c r="D203" s="2921"/>
      <c r="E203" s="2914"/>
      <c r="F203" s="1766"/>
      <c r="G203" s="732"/>
      <c r="H203" s="773" t="str">
        <f t="shared" si="27"/>
        <v/>
      </c>
      <c r="I203" s="841">
        <f t="shared" si="28"/>
        <v>3</v>
      </c>
      <c r="J203" s="842">
        <f t="shared" si="29"/>
        <v>0</v>
      </c>
      <c r="K203" s="774">
        <f t="shared" si="26"/>
        <v>0</v>
      </c>
      <c r="L203" s="737"/>
      <c r="X203" s="819"/>
      <c r="Y203" s="819"/>
      <c r="Z203" s="819"/>
    </row>
    <row r="204" spans="2:26" s="676" customFormat="1" ht="19.5" customHeight="1" x14ac:dyDescent="0.2">
      <c r="B204" s="791"/>
      <c r="C204" s="843"/>
      <c r="D204" s="844"/>
      <c r="E204" s="845"/>
      <c r="F204" s="795"/>
      <c r="G204" s="806"/>
      <c r="H204" s="806"/>
      <c r="I204" s="781" t="s">
        <v>456</v>
      </c>
      <c r="J204" s="797">
        <f>SUM(J194:J203)</f>
        <v>66</v>
      </c>
      <c r="K204" s="798">
        <f>SUM(K194:K203)</f>
        <v>4.4000000000000004</v>
      </c>
      <c r="L204" s="808"/>
      <c r="X204" s="684"/>
      <c r="Y204" s="684"/>
      <c r="Z204" s="684"/>
    </row>
    <row r="205" spans="2:26" s="652" customFormat="1" ht="19.5" customHeight="1" x14ac:dyDescent="0.2">
      <c r="B205" s="846"/>
      <c r="C205" s="758" t="s">
        <v>685</v>
      </c>
      <c r="D205" s="759"/>
      <c r="E205" s="760"/>
      <c r="F205" s="760"/>
      <c r="G205" s="696" t="s">
        <v>633</v>
      </c>
      <c r="H205" s="761"/>
      <c r="I205" s="761"/>
      <c r="J205" s="847"/>
      <c r="K205" s="763"/>
      <c r="L205" s="824"/>
      <c r="X205" s="651"/>
      <c r="Y205" s="651"/>
      <c r="Z205" s="651"/>
    </row>
    <row r="206" spans="2:26" s="652" customFormat="1" x14ac:dyDescent="0.2">
      <c r="B206" s="700"/>
      <c r="C206" s="701" t="s">
        <v>634</v>
      </c>
      <c r="D206" s="2861" t="s">
        <v>635</v>
      </c>
      <c r="E206" s="2862"/>
      <c r="F206" s="2863"/>
      <c r="G206" s="825" t="s">
        <v>636</v>
      </c>
      <c r="H206" s="704" t="s">
        <v>449</v>
      </c>
      <c r="I206" s="705" t="s">
        <v>638</v>
      </c>
      <c r="J206" s="705" t="s">
        <v>639</v>
      </c>
      <c r="K206" s="826" t="s">
        <v>639</v>
      </c>
      <c r="L206" s="657"/>
      <c r="X206" s="651"/>
      <c r="Y206" s="651"/>
      <c r="Z206" s="651"/>
    </row>
    <row r="207" spans="2:26" s="849" customFormat="1" x14ac:dyDescent="0.2">
      <c r="B207" s="764"/>
      <c r="C207" s="765"/>
      <c r="D207" s="2908" t="s">
        <v>1138</v>
      </c>
      <c r="E207" s="2909"/>
      <c r="F207" s="2910"/>
      <c r="G207" s="827" t="s">
        <v>641</v>
      </c>
      <c r="H207" s="767" t="s">
        <v>643</v>
      </c>
      <c r="I207" s="713" t="s">
        <v>644</v>
      </c>
      <c r="J207" s="713" t="s">
        <v>641</v>
      </c>
      <c r="K207" s="706" t="s">
        <v>510</v>
      </c>
      <c r="L207" s="737"/>
      <c r="X207" s="850"/>
      <c r="Y207" s="850"/>
      <c r="Z207" s="850"/>
    </row>
    <row r="208" spans="2:26" s="849" customFormat="1" x14ac:dyDescent="0.2">
      <c r="B208" s="715"/>
      <c r="C208" s="768"/>
      <c r="D208" s="2900" t="s">
        <v>1243</v>
      </c>
      <c r="E208" s="2901"/>
      <c r="F208" s="2902"/>
      <c r="G208" s="829"/>
      <c r="H208" s="851"/>
      <c r="I208" s="720"/>
      <c r="J208" s="720"/>
      <c r="K208" s="721"/>
      <c r="L208" s="831"/>
      <c r="X208" s="850"/>
      <c r="Y208" s="850"/>
      <c r="Z208" s="850"/>
    </row>
    <row r="209" spans="2:26" s="818" customFormat="1" x14ac:dyDescent="0.2">
      <c r="B209" s="832" t="s">
        <v>646</v>
      </c>
      <c r="C209" s="833" t="s">
        <v>684</v>
      </c>
      <c r="D209" s="834" t="s">
        <v>1200</v>
      </c>
      <c r="E209" s="835"/>
      <c r="F209" s="836"/>
      <c r="G209" s="837">
        <v>45</v>
      </c>
      <c r="H209" s="833">
        <v>1</v>
      </c>
      <c r="I209" s="833">
        <v>1.7</v>
      </c>
      <c r="J209" s="838">
        <f>H209*G209*I209</f>
        <v>76.5</v>
      </c>
      <c r="K209" s="839">
        <f t="shared" ref="K209:K219" si="30">J209/15</f>
        <v>5.0999999999999996</v>
      </c>
      <c r="L209" s="840"/>
      <c r="X209" s="819"/>
      <c r="Y209" s="819"/>
      <c r="Z209" s="819"/>
    </row>
    <row r="210" spans="2:26" s="818" customFormat="1" ht="12.75" x14ac:dyDescent="0.2">
      <c r="B210" s="740" t="s">
        <v>648</v>
      </c>
      <c r="C210" s="1965" t="s">
        <v>684</v>
      </c>
      <c r="D210" s="2912" t="s">
        <v>1200</v>
      </c>
      <c r="E210" s="2913"/>
      <c r="F210" s="2914"/>
      <c r="G210" s="732">
        <v>6</v>
      </c>
      <c r="H210" s="773">
        <f>IF(G210&lt;&gt;"",1,"")</f>
        <v>1</v>
      </c>
      <c r="I210" s="841">
        <v>1.7</v>
      </c>
      <c r="J210" s="842">
        <f>IF(H210&lt;&gt;"",H210*G210*I210,0)</f>
        <v>10.199999999999999</v>
      </c>
      <c r="K210" s="774">
        <f t="shared" si="30"/>
        <v>0.67999999999999994</v>
      </c>
      <c r="L210" s="737"/>
      <c r="X210" s="819"/>
      <c r="Y210" s="819"/>
      <c r="Z210" s="819"/>
    </row>
    <row r="211" spans="2:26" s="818" customFormat="1" ht="12.75" x14ac:dyDescent="0.2">
      <c r="B211" s="1955" t="s">
        <v>649</v>
      </c>
      <c r="C211" s="2123" t="s">
        <v>1278</v>
      </c>
      <c r="D211" s="2915" t="s">
        <v>1281</v>
      </c>
      <c r="E211" s="2916"/>
      <c r="F211" s="2917"/>
      <c r="G211" s="1942">
        <v>15</v>
      </c>
      <c r="H211" s="1943">
        <f t="shared" ref="H211:H219" si="31">IF(G211&lt;&gt;"",1,"")</f>
        <v>1</v>
      </c>
      <c r="I211" s="1959">
        <v>1.7</v>
      </c>
      <c r="J211" s="1960">
        <f t="shared" ref="J211:J214" si="32">IF(H211&lt;&gt;"",H211*G211*I211,0)</f>
        <v>25.5</v>
      </c>
      <c r="K211" s="1956">
        <f t="shared" si="30"/>
        <v>1.7</v>
      </c>
      <c r="L211" s="737"/>
      <c r="X211" s="819"/>
      <c r="Y211" s="819"/>
      <c r="Z211" s="819"/>
    </row>
    <row r="212" spans="2:26" s="730" customFormat="1" ht="12.75" x14ac:dyDescent="0.2">
      <c r="B212" s="1953" t="s">
        <v>650</v>
      </c>
      <c r="C212" s="2124" t="s">
        <v>1279</v>
      </c>
      <c r="D212" s="2918" t="s">
        <v>1282</v>
      </c>
      <c r="E212" s="2919"/>
      <c r="F212" s="2920"/>
      <c r="G212" s="1948">
        <v>15</v>
      </c>
      <c r="H212" s="1949">
        <f t="shared" si="31"/>
        <v>1</v>
      </c>
      <c r="I212" s="1961">
        <v>1.7</v>
      </c>
      <c r="J212" s="1962">
        <f t="shared" si="32"/>
        <v>25.5</v>
      </c>
      <c r="K212" s="1954">
        <f t="shared" si="30"/>
        <v>1.7</v>
      </c>
      <c r="L212" s="737"/>
      <c r="X212" s="784"/>
      <c r="Y212" s="784"/>
      <c r="Z212" s="784"/>
    </row>
    <row r="213" spans="2:26" s="818" customFormat="1" ht="12.75" x14ac:dyDescent="0.2">
      <c r="B213" s="740" t="s">
        <v>651</v>
      </c>
      <c r="C213" s="1965" t="s">
        <v>1280</v>
      </c>
      <c r="D213" s="2912" t="s">
        <v>1283</v>
      </c>
      <c r="E213" s="2913"/>
      <c r="F213" s="2914"/>
      <c r="G213" s="732">
        <v>15</v>
      </c>
      <c r="H213" s="773">
        <f t="shared" si="31"/>
        <v>1</v>
      </c>
      <c r="I213" s="841">
        <v>1.7</v>
      </c>
      <c r="J213" s="842">
        <f t="shared" si="32"/>
        <v>25.5</v>
      </c>
      <c r="K213" s="774">
        <f t="shared" si="30"/>
        <v>1.7</v>
      </c>
      <c r="L213" s="737"/>
      <c r="X213" s="819"/>
      <c r="Y213" s="819"/>
      <c r="Z213" s="819"/>
    </row>
    <row r="214" spans="2:26" s="730" customFormat="1" ht="12.75" x14ac:dyDescent="0.2">
      <c r="B214" s="740" t="s">
        <v>652</v>
      </c>
      <c r="C214" s="2123" t="s">
        <v>1278</v>
      </c>
      <c r="D214" s="2915" t="s">
        <v>1292</v>
      </c>
      <c r="E214" s="2916"/>
      <c r="F214" s="2917"/>
      <c r="G214" s="732">
        <v>8</v>
      </c>
      <c r="H214" s="773">
        <f t="shared" si="31"/>
        <v>1</v>
      </c>
      <c r="I214" s="841">
        <v>1.7</v>
      </c>
      <c r="J214" s="842">
        <f t="shared" si="32"/>
        <v>13.6</v>
      </c>
      <c r="K214" s="774">
        <f t="shared" si="30"/>
        <v>0.90666666666666662</v>
      </c>
      <c r="L214" s="737"/>
      <c r="X214" s="784"/>
      <c r="Y214" s="784"/>
      <c r="Z214" s="784"/>
    </row>
    <row r="215" spans="2:26" s="818" customFormat="1" ht="12.75" x14ac:dyDescent="0.2">
      <c r="B215" s="740" t="s">
        <v>653</v>
      </c>
      <c r="C215" s="2124" t="s">
        <v>1279</v>
      </c>
      <c r="D215" s="2918" t="s">
        <v>1294</v>
      </c>
      <c r="E215" s="2919"/>
      <c r="F215" s="2920"/>
      <c r="G215" s="732">
        <v>8</v>
      </c>
      <c r="H215" s="773">
        <f>IF(G215&lt;&gt;"",1,"")</f>
        <v>1</v>
      </c>
      <c r="I215" s="841">
        <v>1.7</v>
      </c>
      <c r="J215" s="842">
        <f>IF(H215&lt;&gt;"",H215*G215*I215,0)</f>
        <v>13.6</v>
      </c>
      <c r="K215" s="774">
        <f t="shared" si="30"/>
        <v>0.90666666666666662</v>
      </c>
      <c r="L215" s="737"/>
      <c r="X215" s="819"/>
      <c r="Y215" s="819"/>
      <c r="Z215" s="819"/>
    </row>
    <row r="216" spans="2:26" s="818" customFormat="1" ht="12.75" x14ac:dyDescent="0.2">
      <c r="B216" s="740" t="s">
        <v>654</v>
      </c>
      <c r="C216" s="2124" t="s">
        <v>1293</v>
      </c>
      <c r="D216" s="2918" t="s">
        <v>1295</v>
      </c>
      <c r="E216" s="2919"/>
      <c r="F216" s="2920"/>
      <c r="G216" s="732">
        <v>8</v>
      </c>
      <c r="H216" s="773">
        <f t="shared" si="31"/>
        <v>1</v>
      </c>
      <c r="I216" s="841">
        <v>1.7</v>
      </c>
      <c r="J216" s="842">
        <f t="shared" ref="J216:J219" si="33">IF(H216&lt;&gt;"",H216*G216*I216,0)</f>
        <v>13.6</v>
      </c>
      <c r="K216" s="774">
        <f t="shared" si="30"/>
        <v>0.90666666666666662</v>
      </c>
      <c r="L216" s="737"/>
      <c r="X216" s="819"/>
      <c r="Y216" s="819"/>
      <c r="Z216" s="819"/>
    </row>
    <row r="217" spans="2:26" s="730" customFormat="1" ht="12.75" x14ac:dyDescent="0.2">
      <c r="B217" s="740" t="s">
        <v>655</v>
      </c>
      <c r="C217" s="741"/>
      <c r="D217" s="2921"/>
      <c r="E217" s="2913"/>
      <c r="F217" s="2914"/>
      <c r="G217" s="732"/>
      <c r="H217" s="773" t="str">
        <f t="shared" si="31"/>
        <v/>
      </c>
      <c r="I217" s="841">
        <v>1.7</v>
      </c>
      <c r="J217" s="842">
        <f t="shared" si="33"/>
        <v>0</v>
      </c>
      <c r="K217" s="774">
        <f t="shared" si="30"/>
        <v>0</v>
      </c>
      <c r="L217" s="737"/>
      <c r="X217" s="784"/>
      <c r="Y217" s="784"/>
      <c r="Z217" s="784"/>
    </row>
    <row r="218" spans="2:26" s="818" customFormat="1" ht="12.75" x14ac:dyDescent="0.2">
      <c r="B218" s="740" t="s">
        <v>656</v>
      </c>
      <c r="C218" s="741"/>
      <c r="D218" s="2921"/>
      <c r="E218" s="2913"/>
      <c r="F218" s="2914"/>
      <c r="G218" s="732"/>
      <c r="H218" s="773" t="str">
        <f t="shared" si="31"/>
        <v/>
      </c>
      <c r="I218" s="841">
        <v>1.7</v>
      </c>
      <c r="J218" s="842">
        <f t="shared" si="33"/>
        <v>0</v>
      </c>
      <c r="K218" s="774">
        <f t="shared" si="30"/>
        <v>0</v>
      </c>
      <c r="L218" s="737"/>
      <c r="X218" s="819"/>
      <c r="Y218" s="819"/>
      <c r="Z218" s="819"/>
    </row>
    <row r="219" spans="2:26" s="730" customFormat="1" ht="12.75" x14ac:dyDescent="0.2">
      <c r="B219" s="740" t="s">
        <v>657</v>
      </c>
      <c r="C219" s="1965"/>
      <c r="D219" s="2912"/>
      <c r="E219" s="2913"/>
      <c r="F219" s="2914"/>
      <c r="G219" s="732"/>
      <c r="H219" s="773" t="str">
        <f t="shared" si="31"/>
        <v/>
      </c>
      <c r="I219" s="841">
        <v>1.7</v>
      </c>
      <c r="J219" s="842">
        <f t="shared" si="33"/>
        <v>0</v>
      </c>
      <c r="K219" s="774">
        <f t="shared" si="30"/>
        <v>0</v>
      </c>
      <c r="L219" s="737"/>
      <c r="X219" s="784"/>
      <c r="Y219" s="784"/>
      <c r="Z219" s="784"/>
    </row>
    <row r="220" spans="2:26" s="676" customFormat="1" ht="19.5" customHeight="1" x14ac:dyDescent="0.2">
      <c r="B220" s="852"/>
      <c r="C220" s="853"/>
      <c r="D220" s="854"/>
      <c r="E220" s="855"/>
      <c r="F220" s="806"/>
      <c r="G220" s="806"/>
      <c r="H220" s="856"/>
      <c r="I220" s="781" t="s">
        <v>456</v>
      </c>
      <c r="J220" s="782">
        <f>SUM(J210:J219)</f>
        <v>127.49999999999999</v>
      </c>
      <c r="K220" s="783">
        <f>SUM(K210:K219)</f>
        <v>8.5</v>
      </c>
      <c r="L220" s="857"/>
      <c r="X220" s="684"/>
      <c r="Y220" s="684"/>
      <c r="Z220" s="684"/>
    </row>
    <row r="221" spans="2:26" s="866" customFormat="1" ht="12.75" customHeight="1" x14ac:dyDescent="0.2">
      <c r="B221" s="858"/>
      <c r="C221" s="859"/>
      <c r="D221" s="860"/>
      <c r="E221" s="861"/>
      <c r="F221" s="862"/>
      <c r="G221" s="862"/>
      <c r="H221" s="667"/>
      <c r="I221" s="863"/>
      <c r="J221" s="864"/>
      <c r="K221" s="865"/>
      <c r="L221" s="817"/>
      <c r="X221" s="867"/>
      <c r="Y221" s="867"/>
      <c r="Z221" s="867"/>
    </row>
    <row r="222" spans="2:26" ht="21" customHeight="1" x14ac:dyDescent="0.2">
      <c r="B222" s="685">
        <v>1.3</v>
      </c>
      <c r="C222" s="868" t="s">
        <v>686</v>
      </c>
      <c r="D222" s="869"/>
      <c r="E222" s="688"/>
      <c r="F222" s="688"/>
      <c r="G222" s="688"/>
      <c r="H222" s="688"/>
      <c r="I222" s="688"/>
      <c r="J222" s="688"/>
      <c r="K222" s="870"/>
      <c r="L222" s="699"/>
    </row>
    <row r="223" spans="2:26" ht="14.25" customHeight="1" x14ac:dyDescent="0.2">
      <c r="B223" s="871"/>
      <c r="C223" s="2922" t="s">
        <v>687</v>
      </c>
      <c r="D223" s="2923"/>
      <c r="E223" s="2923"/>
      <c r="F223" s="2924"/>
      <c r="G223" s="872" t="s">
        <v>636</v>
      </c>
      <c r="H223" s="873" t="s">
        <v>449</v>
      </c>
      <c r="I223" s="874" t="s">
        <v>638</v>
      </c>
      <c r="J223" s="874" t="s">
        <v>639</v>
      </c>
      <c r="K223" s="875" t="s">
        <v>639</v>
      </c>
      <c r="L223" s="707"/>
    </row>
    <row r="224" spans="2:26" s="730" customFormat="1" ht="12.75" x14ac:dyDescent="0.2">
      <c r="B224" s="764"/>
      <c r="C224" s="876"/>
      <c r="D224" s="877"/>
      <c r="E224" s="877"/>
      <c r="F224" s="877"/>
      <c r="G224" s="766" t="s">
        <v>641</v>
      </c>
      <c r="H224" s="767" t="s">
        <v>643</v>
      </c>
      <c r="I224" s="713" t="s">
        <v>644</v>
      </c>
      <c r="J224" s="713" t="s">
        <v>641</v>
      </c>
      <c r="K224" s="706" t="s">
        <v>510</v>
      </c>
      <c r="L224" s="714"/>
      <c r="X224" s="784"/>
      <c r="Y224" s="784"/>
      <c r="Z224" s="784"/>
    </row>
    <row r="225" spans="2:26" s="730" customFormat="1" ht="12.75" x14ac:dyDescent="0.2">
      <c r="B225" s="764"/>
      <c r="C225" s="878"/>
      <c r="D225" s="879"/>
      <c r="E225" s="879"/>
      <c r="F225" s="879"/>
      <c r="G225" s="766"/>
      <c r="H225" s="880"/>
      <c r="I225" s="713"/>
      <c r="J225" s="713"/>
      <c r="K225" s="706"/>
      <c r="L225" s="722"/>
      <c r="X225" s="784"/>
      <c r="Y225" s="784"/>
      <c r="Z225" s="784"/>
    </row>
    <row r="226" spans="2:26" s="730" customFormat="1" ht="12.75" x14ac:dyDescent="0.2">
      <c r="B226" s="740" t="s">
        <v>648</v>
      </c>
      <c r="C226" s="2888"/>
      <c r="D226" s="2858"/>
      <c r="E226" s="2858"/>
      <c r="F226" s="2859"/>
      <c r="G226" s="741"/>
      <c r="H226" s="773" t="str">
        <f>IF(G226&lt;&gt;"",1,"")</f>
        <v/>
      </c>
      <c r="I226" s="841">
        <v>0.3</v>
      </c>
      <c r="J226" s="842">
        <f>IF(H226&lt;&gt;"",H226*G226*I226,0)</f>
        <v>0</v>
      </c>
      <c r="K226" s="774">
        <f>J226/15</f>
        <v>0</v>
      </c>
      <c r="L226" s="743"/>
      <c r="X226" s="784"/>
      <c r="Y226" s="784"/>
      <c r="Z226" s="784"/>
    </row>
    <row r="227" spans="2:26" s="730" customFormat="1" ht="12.75" x14ac:dyDescent="0.2">
      <c r="B227" s="740" t="s">
        <v>649</v>
      </c>
      <c r="C227" s="2888"/>
      <c r="D227" s="2858"/>
      <c r="E227" s="2858"/>
      <c r="F227" s="2859"/>
      <c r="G227" s="741"/>
      <c r="H227" s="773" t="str">
        <f t="shared" ref="H227:H228" si="34">IF(G227&lt;&gt;"",1,"")</f>
        <v/>
      </c>
      <c r="I227" s="841">
        <v>0.3</v>
      </c>
      <c r="J227" s="842">
        <f t="shared" ref="J227:J228" si="35">IF(H227&lt;&gt;"",H227*G227*I227,0)</f>
        <v>0</v>
      </c>
      <c r="K227" s="774">
        <f>J227/15</f>
        <v>0</v>
      </c>
      <c r="L227" s="737"/>
      <c r="X227" s="784"/>
      <c r="Y227" s="784"/>
      <c r="Z227" s="784"/>
    </row>
    <row r="228" spans="2:26" s="730" customFormat="1" ht="12.75" x14ac:dyDescent="0.2">
      <c r="B228" s="740" t="s">
        <v>650</v>
      </c>
      <c r="C228" s="2857"/>
      <c r="D228" s="2858"/>
      <c r="E228" s="2858"/>
      <c r="F228" s="2859"/>
      <c r="G228" s="741"/>
      <c r="H228" s="773" t="str">
        <f t="shared" si="34"/>
        <v/>
      </c>
      <c r="I228" s="841">
        <v>0.3</v>
      </c>
      <c r="J228" s="842">
        <f t="shared" si="35"/>
        <v>0</v>
      </c>
      <c r="K228" s="774">
        <f>J228/15</f>
        <v>0</v>
      </c>
      <c r="L228" s="737"/>
      <c r="X228" s="784"/>
      <c r="Y228" s="784"/>
      <c r="Z228" s="784"/>
    </row>
    <row r="229" spans="2:26" s="676" customFormat="1" ht="21" customHeight="1" x14ac:dyDescent="0.2">
      <c r="B229" s="881"/>
      <c r="C229" s="882"/>
      <c r="D229" s="883"/>
      <c r="E229" s="883"/>
      <c r="F229" s="884"/>
      <c r="G229" s="804"/>
      <c r="H229" s="807"/>
      <c r="I229" s="885" t="s">
        <v>456</v>
      </c>
      <c r="J229" s="886">
        <f>SUM(J226:J228)</f>
        <v>0</v>
      </c>
      <c r="K229" s="887">
        <f>SUM(K226:K228)</f>
        <v>0</v>
      </c>
      <c r="L229" s="857"/>
      <c r="X229" s="684"/>
      <c r="Y229" s="684"/>
      <c r="Z229" s="684"/>
    </row>
    <row r="230" spans="2:26" s="866" customFormat="1" ht="12.75" customHeight="1" x14ac:dyDescent="0.2">
      <c r="B230" s="858"/>
      <c r="C230" s="859"/>
      <c r="D230" s="860"/>
      <c r="E230" s="861"/>
      <c r="F230" s="862"/>
      <c r="G230" s="862"/>
      <c r="H230" s="667"/>
      <c r="I230" s="863"/>
      <c r="J230" s="864"/>
      <c r="K230" s="865"/>
      <c r="L230" s="817"/>
      <c r="X230" s="867"/>
      <c r="Y230" s="867"/>
      <c r="Z230" s="867"/>
    </row>
    <row r="231" spans="2:26" ht="21" customHeight="1" x14ac:dyDescent="0.2">
      <c r="B231" s="685">
        <v>1.4</v>
      </c>
      <c r="C231" s="868" t="s">
        <v>688</v>
      </c>
      <c r="D231" s="869"/>
      <c r="E231" s="688"/>
      <c r="F231" s="688"/>
      <c r="G231" s="688"/>
      <c r="H231" s="688"/>
      <c r="I231" s="688"/>
      <c r="J231" s="688"/>
      <c r="K231" s="870"/>
      <c r="L231" s="699"/>
    </row>
    <row r="232" spans="2:26" ht="14.25" customHeight="1" x14ac:dyDescent="0.2">
      <c r="B232" s="871"/>
      <c r="C232" s="888" t="s">
        <v>634</v>
      </c>
      <c r="D232" s="2922" t="s">
        <v>635</v>
      </c>
      <c r="E232" s="2923"/>
      <c r="F232" s="2924"/>
      <c r="G232" s="872" t="s">
        <v>636</v>
      </c>
      <c r="H232" s="873" t="s">
        <v>449</v>
      </c>
      <c r="I232" s="874" t="s">
        <v>638</v>
      </c>
      <c r="J232" s="874" t="s">
        <v>639</v>
      </c>
      <c r="K232" s="875" t="s">
        <v>639</v>
      </c>
      <c r="L232" s="707"/>
    </row>
    <row r="233" spans="2:26" s="730" customFormat="1" ht="12.75" x14ac:dyDescent="0.2">
      <c r="B233" s="764"/>
      <c r="C233" s="889"/>
      <c r="D233" s="877"/>
      <c r="E233" s="877"/>
      <c r="F233" s="877"/>
      <c r="G233" s="766" t="s">
        <v>641</v>
      </c>
      <c r="H233" s="767" t="s">
        <v>643</v>
      </c>
      <c r="I233" s="713" t="s">
        <v>644</v>
      </c>
      <c r="J233" s="713" t="s">
        <v>641</v>
      </c>
      <c r="K233" s="706" t="s">
        <v>510</v>
      </c>
      <c r="L233" s="714"/>
      <c r="X233" s="784"/>
      <c r="Y233" s="784"/>
      <c r="Z233" s="784"/>
    </row>
    <row r="234" spans="2:26" s="730" customFormat="1" ht="12.75" x14ac:dyDescent="0.2">
      <c r="B234" s="764"/>
      <c r="C234" s="890"/>
      <c r="D234" s="891"/>
      <c r="E234" s="891"/>
      <c r="F234" s="891"/>
      <c r="G234" s="892"/>
      <c r="H234" s="767"/>
      <c r="I234" s="713"/>
      <c r="J234" s="713"/>
      <c r="K234" s="706"/>
      <c r="L234" s="722"/>
      <c r="X234" s="784"/>
      <c r="Y234" s="784"/>
      <c r="Z234" s="784"/>
    </row>
    <row r="235" spans="2:26" s="730" customFormat="1" ht="12.75" x14ac:dyDescent="0.2">
      <c r="B235" s="740" t="s">
        <v>648</v>
      </c>
      <c r="C235" s="1966"/>
      <c r="D235" s="2888"/>
      <c r="E235" s="2858"/>
      <c r="F235" s="2859"/>
      <c r="G235" s="741"/>
      <c r="H235" s="773" t="str">
        <f>IF(G235&lt;&gt;"",1,"")</f>
        <v/>
      </c>
      <c r="I235" s="841">
        <v>4.5</v>
      </c>
      <c r="J235" s="842">
        <f>IF(H235&lt;&gt;"",H235*G235*I235,0)</f>
        <v>0</v>
      </c>
      <c r="K235" s="774">
        <f>J235/15</f>
        <v>0</v>
      </c>
      <c r="L235" s="743"/>
      <c r="X235" s="784"/>
      <c r="Y235" s="784"/>
      <c r="Z235" s="784"/>
    </row>
    <row r="236" spans="2:26" s="730" customFormat="1" ht="12.75" x14ac:dyDescent="0.2">
      <c r="B236" s="740" t="s">
        <v>649</v>
      </c>
      <c r="C236" s="893"/>
      <c r="D236" s="2857"/>
      <c r="E236" s="2858"/>
      <c r="F236" s="2859"/>
      <c r="G236" s="741"/>
      <c r="H236" s="773" t="str">
        <f t="shared" ref="H236:H237" si="36">IF(G236&lt;&gt;"",1,"")</f>
        <v/>
      </c>
      <c r="I236" s="841">
        <v>4.5</v>
      </c>
      <c r="J236" s="842">
        <f t="shared" ref="J236:J237" si="37">IF(H236&lt;&gt;"",H236*G236*I236,0)</f>
        <v>0</v>
      </c>
      <c r="K236" s="774">
        <f>J236/15</f>
        <v>0</v>
      </c>
      <c r="L236" s="737"/>
      <c r="X236" s="784"/>
      <c r="Y236" s="784"/>
      <c r="Z236" s="784"/>
    </row>
    <row r="237" spans="2:26" s="730" customFormat="1" ht="12.75" x14ac:dyDescent="0.2">
      <c r="B237" s="740" t="s">
        <v>650</v>
      </c>
      <c r="C237" s="893"/>
      <c r="D237" s="2857"/>
      <c r="E237" s="2858"/>
      <c r="F237" s="2859"/>
      <c r="G237" s="741"/>
      <c r="H237" s="773" t="str">
        <f t="shared" si="36"/>
        <v/>
      </c>
      <c r="I237" s="841">
        <v>4.5</v>
      </c>
      <c r="J237" s="842">
        <f t="shared" si="37"/>
        <v>0</v>
      </c>
      <c r="K237" s="774">
        <f>J237/15</f>
        <v>0</v>
      </c>
      <c r="L237" s="737"/>
      <c r="X237" s="784"/>
      <c r="Y237" s="784"/>
      <c r="Z237" s="784"/>
    </row>
    <row r="238" spans="2:26" s="676" customFormat="1" ht="21" customHeight="1" x14ac:dyDescent="0.2">
      <c r="B238" s="881"/>
      <c r="C238" s="803"/>
      <c r="D238" s="883"/>
      <c r="E238" s="883"/>
      <c r="F238" s="884"/>
      <c r="G238" s="804"/>
      <c r="H238" s="807"/>
      <c r="I238" s="885" t="s">
        <v>456</v>
      </c>
      <c r="J238" s="886">
        <f>SUM(J235:J237)</f>
        <v>0</v>
      </c>
      <c r="K238" s="887">
        <f>SUM(K235:K237)</f>
        <v>0</v>
      </c>
      <c r="L238" s="857"/>
      <c r="X238" s="684"/>
      <c r="Y238" s="684"/>
      <c r="Z238" s="684"/>
    </row>
    <row r="239" spans="2:26" s="866" customFormat="1" ht="12.75" customHeight="1" x14ac:dyDescent="0.2">
      <c r="B239" s="858"/>
      <c r="C239" s="859"/>
      <c r="D239" s="860"/>
      <c r="E239" s="861"/>
      <c r="F239" s="862"/>
      <c r="G239" s="862"/>
      <c r="H239" s="667"/>
      <c r="I239" s="863"/>
      <c r="J239" s="864"/>
      <c r="K239" s="816"/>
      <c r="L239" s="817"/>
      <c r="X239" s="867"/>
      <c r="Y239" s="867"/>
      <c r="Z239" s="867"/>
    </row>
    <row r="240" spans="2:26" ht="21" customHeight="1" x14ac:dyDescent="0.2">
      <c r="B240" s="685">
        <v>1.5</v>
      </c>
      <c r="C240" s="868" t="s">
        <v>689</v>
      </c>
      <c r="D240" s="869"/>
      <c r="E240" s="688"/>
      <c r="F240" s="688"/>
      <c r="G240" s="688"/>
      <c r="H240" s="688"/>
      <c r="I240" s="688"/>
      <c r="J240" s="688"/>
      <c r="K240" s="870"/>
      <c r="L240" s="699"/>
    </row>
    <row r="241" spans="2:26" ht="14.25" customHeight="1" x14ac:dyDescent="0.2">
      <c r="B241" s="871"/>
      <c r="C241" s="2922" t="s">
        <v>635</v>
      </c>
      <c r="D241" s="2923"/>
      <c r="E241" s="2923"/>
      <c r="F241" s="2924"/>
      <c r="G241" s="872" t="s">
        <v>636</v>
      </c>
      <c r="H241" s="873" t="s">
        <v>449</v>
      </c>
      <c r="I241" s="874" t="s">
        <v>638</v>
      </c>
      <c r="J241" s="874" t="s">
        <v>639</v>
      </c>
      <c r="K241" s="875" t="s">
        <v>639</v>
      </c>
      <c r="L241" s="707"/>
    </row>
    <row r="242" spans="2:26" s="730" customFormat="1" ht="12.75" x14ac:dyDescent="0.2">
      <c r="B242" s="764"/>
      <c r="C242" s="876"/>
      <c r="D242" s="877"/>
      <c r="E242" s="877"/>
      <c r="F242" s="877"/>
      <c r="G242" s="766" t="s">
        <v>641</v>
      </c>
      <c r="H242" s="767" t="s">
        <v>643</v>
      </c>
      <c r="I242" s="713" t="s">
        <v>644</v>
      </c>
      <c r="J242" s="713" t="s">
        <v>641</v>
      </c>
      <c r="K242" s="706" t="s">
        <v>510</v>
      </c>
      <c r="L242" s="714"/>
      <c r="X242" s="784"/>
      <c r="Y242" s="784"/>
      <c r="Z242" s="784"/>
    </row>
    <row r="243" spans="2:26" s="730" customFormat="1" ht="12.75" x14ac:dyDescent="0.2">
      <c r="B243" s="764"/>
      <c r="C243" s="878"/>
      <c r="D243" s="879"/>
      <c r="E243" s="879"/>
      <c r="F243" s="879"/>
      <c r="G243" s="766"/>
      <c r="H243" s="767"/>
      <c r="I243" s="713"/>
      <c r="J243" s="713"/>
      <c r="K243" s="706"/>
      <c r="L243" s="722"/>
      <c r="X243" s="784"/>
      <c r="Y243" s="784"/>
      <c r="Z243" s="784"/>
    </row>
    <row r="244" spans="2:26" s="730" customFormat="1" ht="12.75" x14ac:dyDescent="0.2">
      <c r="B244" s="740" t="s">
        <v>648</v>
      </c>
      <c r="C244" s="2888"/>
      <c r="D244" s="2858"/>
      <c r="E244" s="2858"/>
      <c r="F244" s="2859"/>
      <c r="G244" s="741"/>
      <c r="H244" s="773" t="str">
        <f>IF(G244&lt;&gt;"",1,"")</f>
        <v/>
      </c>
      <c r="I244" s="841">
        <v>4.5</v>
      </c>
      <c r="J244" s="842">
        <f>IF(H244&lt;&gt;"",H244*G244*I244,)</f>
        <v>0</v>
      </c>
      <c r="K244" s="774">
        <f>J244/15</f>
        <v>0</v>
      </c>
      <c r="L244" s="743"/>
      <c r="X244" s="784"/>
      <c r="Y244" s="784"/>
      <c r="Z244" s="784"/>
    </row>
    <row r="245" spans="2:26" s="730" customFormat="1" ht="12.75" x14ac:dyDescent="0.2">
      <c r="B245" s="740" t="s">
        <v>649</v>
      </c>
      <c r="C245" s="2857"/>
      <c r="D245" s="2858"/>
      <c r="E245" s="2858"/>
      <c r="F245" s="2859"/>
      <c r="G245" s="741"/>
      <c r="H245" s="773" t="str">
        <f t="shared" ref="H245:H246" si="38">IF(G245&lt;&gt;"",1,"")</f>
        <v/>
      </c>
      <c r="I245" s="841">
        <v>4.5</v>
      </c>
      <c r="J245" s="842">
        <f t="shared" ref="J245:J246" si="39">IF(H245&lt;&gt;"",H245*G245*I245,)</f>
        <v>0</v>
      </c>
      <c r="K245" s="774">
        <f>J245/15</f>
        <v>0</v>
      </c>
      <c r="L245" s="737"/>
      <c r="X245" s="784"/>
      <c r="Y245" s="784"/>
      <c r="Z245" s="784"/>
    </row>
    <row r="246" spans="2:26" s="730" customFormat="1" ht="12.75" x14ac:dyDescent="0.2">
      <c r="B246" s="740" t="s">
        <v>650</v>
      </c>
      <c r="C246" s="2857"/>
      <c r="D246" s="2858"/>
      <c r="E246" s="2858"/>
      <c r="F246" s="2859"/>
      <c r="G246" s="741"/>
      <c r="H246" s="773" t="str">
        <f t="shared" si="38"/>
        <v/>
      </c>
      <c r="I246" s="841">
        <v>4.5</v>
      </c>
      <c r="J246" s="842">
        <f t="shared" si="39"/>
        <v>0</v>
      </c>
      <c r="K246" s="774">
        <f>J246/15</f>
        <v>0</v>
      </c>
      <c r="L246" s="737"/>
      <c r="X246" s="784"/>
      <c r="Y246" s="784"/>
      <c r="Z246" s="784"/>
    </row>
    <row r="247" spans="2:26" s="676" customFormat="1" ht="21" customHeight="1" x14ac:dyDescent="0.2">
      <c r="B247" s="881"/>
      <c r="C247" s="894"/>
      <c r="D247" s="883"/>
      <c r="E247" s="883"/>
      <c r="F247" s="884"/>
      <c r="G247" s="804"/>
      <c r="H247" s="806"/>
      <c r="I247" s="885" t="s">
        <v>456</v>
      </c>
      <c r="J247" s="782">
        <f>SUM(J244:J246)</f>
        <v>0</v>
      </c>
      <c r="K247" s="783">
        <f>SUM(K244:K246)</f>
        <v>0</v>
      </c>
      <c r="L247" s="857"/>
      <c r="X247" s="684"/>
      <c r="Y247" s="684"/>
      <c r="Z247" s="684"/>
    </row>
    <row r="248" spans="2:26" s="857" customFormat="1" ht="9.75" customHeight="1" x14ac:dyDescent="0.2">
      <c r="B248" s="858"/>
      <c r="C248" s="859"/>
      <c r="D248" s="860"/>
      <c r="E248" s="861"/>
      <c r="F248" s="862"/>
      <c r="G248" s="862"/>
      <c r="H248" s="667"/>
      <c r="I248" s="863"/>
      <c r="J248" s="864"/>
      <c r="K248" s="1963"/>
      <c r="X248" s="667"/>
      <c r="Y248" s="667"/>
      <c r="Z248" s="667"/>
    </row>
    <row r="249" spans="2:26" ht="21" customHeight="1" x14ac:dyDescent="0.2">
      <c r="B249" s="685">
        <v>1.6</v>
      </c>
      <c r="C249" s="868" t="s">
        <v>769</v>
      </c>
      <c r="D249" s="869"/>
      <c r="E249" s="688"/>
      <c r="F249" s="688"/>
      <c r="G249" s="688"/>
      <c r="H249" s="688"/>
      <c r="I249" s="688"/>
      <c r="J249" s="688"/>
      <c r="K249" s="870"/>
      <c r="L249" s="662"/>
    </row>
    <row r="250" spans="2:26" x14ac:dyDescent="0.2">
      <c r="B250" s="871"/>
      <c r="C250" s="888" t="s">
        <v>634</v>
      </c>
      <c r="D250" s="2922" t="s">
        <v>635</v>
      </c>
      <c r="E250" s="2923"/>
      <c r="F250" s="2924"/>
      <c r="G250" s="895" t="s">
        <v>690</v>
      </c>
      <c r="H250" s="703" t="s">
        <v>637</v>
      </c>
      <c r="I250" s="874" t="s">
        <v>638</v>
      </c>
      <c r="J250" s="874" t="s">
        <v>639</v>
      </c>
      <c r="K250" s="875" t="s">
        <v>639</v>
      </c>
      <c r="L250" s="662"/>
    </row>
    <row r="251" spans="2:26" ht="14.25" customHeight="1" x14ac:dyDescent="0.2">
      <c r="B251" s="764"/>
      <c r="C251" s="889"/>
      <c r="D251" s="877"/>
      <c r="E251" s="877"/>
      <c r="F251" s="877"/>
      <c r="G251" s="896" t="s">
        <v>691</v>
      </c>
      <c r="H251" s="711" t="s">
        <v>642</v>
      </c>
      <c r="I251" s="713" t="s">
        <v>644</v>
      </c>
      <c r="J251" s="713" t="s">
        <v>641</v>
      </c>
      <c r="K251" s="706" t="s">
        <v>510</v>
      </c>
      <c r="L251" s="662"/>
    </row>
    <row r="252" spans="2:26" s="898" customFormat="1" ht="12.75" x14ac:dyDescent="0.2">
      <c r="B252" s="764"/>
      <c r="C252" s="890"/>
      <c r="D252" s="891"/>
      <c r="E252" s="891"/>
      <c r="F252" s="891"/>
      <c r="G252" s="711" t="s">
        <v>641</v>
      </c>
      <c r="H252" s="718" t="s">
        <v>645</v>
      </c>
      <c r="I252" s="713"/>
      <c r="J252" s="713"/>
      <c r="K252" s="706"/>
      <c r="L252" s="897"/>
      <c r="X252" s="899"/>
      <c r="Y252" s="899"/>
      <c r="Z252" s="899"/>
    </row>
    <row r="253" spans="2:26" s="898" customFormat="1" ht="12.75" x14ac:dyDescent="0.2">
      <c r="B253" s="740" t="s">
        <v>648</v>
      </c>
      <c r="C253" s="1966" t="s">
        <v>1290</v>
      </c>
      <c r="D253" s="2888" t="s">
        <v>1291</v>
      </c>
      <c r="E253" s="2858"/>
      <c r="F253" s="2859"/>
      <c r="G253" s="741">
        <v>15</v>
      </c>
      <c r="H253" s="741">
        <v>100</v>
      </c>
      <c r="I253" s="841">
        <v>0.1</v>
      </c>
      <c r="J253" s="842">
        <f>(I253*G253)*H253/100</f>
        <v>1.5</v>
      </c>
      <c r="K253" s="774">
        <f t="shared" ref="K253:K262" si="40">J253/15</f>
        <v>0.1</v>
      </c>
      <c r="L253" s="897"/>
      <c r="U253" s="900"/>
      <c r="X253" s="899"/>
      <c r="Y253" s="899"/>
      <c r="Z253" s="899"/>
    </row>
    <row r="254" spans="2:26" s="900" customFormat="1" ht="12.75" x14ac:dyDescent="0.2">
      <c r="B254" s="740" t="s">
        <v>649</v>
      </c>
      <c r="C254" s="893"/>
      <c r="D254" s="2857"/>
      <c r="E254" s="2858"/>
      <c r="F254" s="2859"/>
      <c r="G254" s="741"/>
      <c r="H254" s="741"/>
      <c r="I254" s="841">
        <v>0.1</v>
      </c>
      <c r="J254" s="842">
        <f t="shared" ref="J254:J255" si="41">(I254*G254)*H254/100</f>
        <v>0</v>
      </c>
      <c r="K254" s="774">
        <f t="shared" si="40"/>
        <v>0</v>
      </c>
      <c r="L254" s="901"/>
      <c r="X254" s="899"/>
      <c r="Y254" s="899"/>
      <c r="Z254" s="899"/>
    </row>
    <row r="255" spans="2:26" s="900" customFormat="1" ht="12.75" x14ac:dyDescent="0.2">
      <c r="B255" s="740" t="s">
        <v>650</v>
      </c>
      <c r="C255" s="893"/>
      <c r="D255" s="2857"/>
      <c r="E255" s="2858"/>
      <c r="F255" s="2859"/>
      <c r="G255" s="741"/>
      <c r="H255" s="741"/>
      <c r="I255" s="841">
        <v>0.1</v>
      </c>
      <c r="J255" s="842">
        <f t="shared" si="41"/>
        <v>0</v>
      </c>
      <c r="K255" s="774">
        <f t="shared" si="40"/>
        <v>0</v>
      </c>
      <c r="L255" s="901"/>
      <c r="X255" s="899"/>
      <c r="Y255" s="899"/>
      <c r="Z255" s="899"/>
    </row>
    <row r="256" spans="2:26" s="898" customFormat="1" ht="12.75" x14ac:dyDescent="0.2">
      <c r="B256" s="740" t="s">
        <v>651</v>
      </c>
      <c r="C256" s="893"/>
      <c r="D256" s="2857"/>
      <c r="E256" s="2858"/>
      <c r="F256" s="2859"/>
      <c r="G256" s="741"/>
      <c r="H256" s="741"/>
      <c r="I256" s="841">
        <v>0.1</v>
      </c>
      <c r="J256" s="842">
        <f>(I256*G256)*H256/100</f>
        <v>0</v>
      </c>
      <c r="K256" s="774">
        <f t="shared" si="40"/>
        <v>0</v>
      </c>
      <c r="L256" s="897"/>
      <c r="U256" s="900"/>
      <c r="X256" s="899"/>
      <c r="Y256" s="899"/>
      <c r="Z256" s="899"/>
    </row>
    <row r="257" spans="2:26" s="900" customFormat="1" ht="12.75" x14ac:dyDescent="0.2">
      <c r="B257" s="740" t="s">
        <v>652</v>
      </c>
      <c r="C257" s="893"/>
      <c r="D257" s="2857"/>
      <c r="E257" s="2858"/>
      <c r="F257" s="2859"/>
      <c r="G257" s="741"/>
      <c r="H257" s="741"/>
      <c r="I257" s="841">
        <v>0.1</v>
      </c>
      <c r="J257" s="842">
        <f t="shared" ref="J257:J258" si="42">(I257*G257)*H257/100</f>
        <v>0</v>
      </c>
      <c r="K257" s="774">
        <f t="shared" si="40"/>
        <v>0</v>
      </c>
      <c r="L257" s="901"/>
      <c r="X257" s="899"/>
      <c r="Y257" s="899"/>
      <c r="Z257" s="899"/>
    </row>
    <row r="258" spans="2:26" s="900" customFormat="1" ht="12.75" x14ac:dyDescent="0.2">
      <c r="B258" s="740" t="s">
        <v>653</v>
      </c>
      <c r="C258" s="893"/>
      <c r="D258" s="2857"/>
      <c r="E258" s="2858"/>
      <c r="F258" s="2859"/>
      <c r="G258" s="741"/>
      <c r="H258" s="741"/>
      <c r="I258" s="841">
        <v>0.1</v>
      </c>
      <c r="J258" s="842">
        <f t="shared" si="42"/>
        <v>0</v>
      </c>
      <c r="K258" s="774">
        <f t="shared" si="40"/>
        <v>0</v>
      </c>
      <c r="L258" s="901"/>
      <c r="X258" s="899"/>
      <c r="Y258" s="899"/>
      <c r="Z258" s="899"/>
    </row>
    <row r="259" spans="2:26" s="898" customFormat="1" ht="12.75" x14ac:dyDescent="0.2">
      <c r="B259" s="740" t="s">
        <v>654</v>
      </c>
      <c r="C259" s="893"/>
      <c r="D259" s="2857"/>
      <c r="E259" s="2858"/>
      <c r="F259" s="2859"/>
      <c r="G259" s="741"/>
      <c r="H259" s="741"/>
      <c r="I259" s="841">
        <v>0.1</v>
      </c>
      <c r="J259" s="842">
        <f>(I259*G259)*H259/100</f>
        <v>0</v>
      </c>
      <c r="K259" s="774">
        <f t="shared" si="40"/>
        <v>0</v>
      </c>
      <c r="L259" s="897"/>
      <c r="U259" s="900"/>
      <c r="X259" s="899"/>
      <c r="Y259" s="899"/>
      <c r="Z259" s="899"/>
    </row>
    <row r="260" spans="2:26" s="900" customFormat="1" ht="12.75" x14ac:dyDescent="0.2">
      <c r="B260" s="740" t="s">
        <v>655</v>
      </c>
      <c r="C260" s="893"/>
      <c r="D260" s="2857"/>
      <c r="E260" s="2858"/>
      <c r="F260" s="2859"/>
      <c r="G260" s="741"/>
      <c r="H260" s="741"/>
      <c r="I260" s="841">
        <v>0.1</v>
      </c>
      <c r="J260" s="842">
        <f t="shared" ref="J260:J262" si="43">(I260*G260)*H260/100</f>
        <v>0</v>
      </c>
      <c r="K260" s="774">
        <f t="shared" si="40"/>
        <v>0</v>
      </c>
      <c r="L260" s="901"/>
      <c r="X260" s="899"/>
      <c r="Y260" s="899"/>
      <c r="Z260" s="899"/>
    </row>
    <row r="261" spans="2:26" s="900" customFormat="1" ht="12.75" x14ac:dyDescent="0.2">
      <c r="B261" s="740" t="s">
        <v>656</v>
      </c>
      <c r="C261" s="893"/>
      <c r="D261" s="2857"/>
      <c r="E261" s="2858"/>
      <c r="F261" s="2859"/>
      <c r="G261" s="741"/>
      <c r="H261" s="741"/>
      <c r="I261" s="841">
        <v>0.1</v>
      </c>
      <c r="J261" s="842">
        <f t="shared" si="43"/>
        <v>0</v>
      </c>
      <c r="K261" s="774">
        <f t="shared" si="40"/>
        <v>0</v>
      </c>
      <c r="L261" s="901"/>
      <c r="X261" s="899"/>
      <c r="Y261" s="899"/>
      <c r="Z261" s="899"/>
    </row>
    <row r="262" spans="2:26" s="900" customFormat="1" ht="12.75" x14ac:dyDescent="0.2">
      <c r="B262" s="740" t="s">
        <v>657</v>
      </c>
      <c r="C262" s="893"/>
      <c r="D262" s="2857"/>
      <c r="E262" s="2858"/>
      <c r="F262" s="2859"/>
      <c r="G262" s="741"/>
      <c r="H262" s="741"/>
      <c r="I262" s="841">
        <v>0.1</v>
      </c>
      <c r="J262" s="842">
        <f t="shared" si="43"/>
        <v>0</v>
      </c>
      <c r="K262" s="774">
        <f t="shared" si="40"/>
        <v>0</v>
      </c>
      <c r="L262" s="901"/>
      <c r="X262" s="899"/>
      <c r="Y262" s="899"/>
      <c r="Z262" s="899"/>
    </row>
    <row r="263" spans="2:26" s="898" customFormat="1" ht="15" x14ac:dyDescent="0.2">
      <c r="B263" s="881"/>
      <c r="C263" s="894"/>
      <c r="D263" s="883"/>
      <c r="E263" s="883"/>
      <c r="F263" s="884"/>
      <c r="G263" s="804"/>
      <c r="H263" s="806"/>
      <c r="I263" s="885" t="s">
        <v>456</v>
      </c>
      <c r="J263" s="886">
        <f>SUM(J253:J262)</f>
        <v>1.5</v>
      </c>
      <c r="K263" s="887">
        <f>SUM(K253:K262)</f>
        <v>0.1</v>
      </c>
      <c r="L263" s="897"/>
      <c r="X263" s="899"/>
      <c r="Y263" s="899"/>
      <c r="Z263" s="899"/>
    </row>
    <row r="264" spans="2:26" s="906" customFormat="1" ht="11.25" customHeight="1" x14ac:dyDescent="0.2">
      <c r="B264" s="857"/>
      <c r="C264" s="857"/>
      <c r="D264" s="902"/>
      <c r="E264" s="902"/>
      <c r="F264" s="667"/>
      <c r="G264" s="903"/>
      <c r="H264" s="903"/>
      <c r="I264" s="903"/>
      <c r="J264" s="904"/>
      <c r="K264" s="904"/>
      <c r="L264" s="905"/>
      <c r="X264" s="907"/>
      <c r="Y264" s="907"/>
      <c r="Z264" s="907"/>
    </row>
    <row r="265" spans="2:26" s="911" customFormat="1" ht="9.75" customHeight="1" x14ac:dyDescent="0.25">
      <c r="B265" s="659"/>
      <c r="C265" s="659"/>
      <c r="D265" s="908"/>
      <c r="E265" s="909"/>
      <c r="F265" s="661"/>
      <c r="G265" s="661"/>
      <c r="H265" s="661"/>
      <c r="I265" s="661"/>
      <c r="J265" s="661"/>
      <c r="K265" s="910"/>
      <c r="L265" s="905"/>
      <c r="X265" s="912"/>
      <c r="Y265" s="912"/>
      <c r="Z265" s="912"/>
    </row>
    <row r="266" spans="2:26" s="898" customFormat="1" ht="18" x14ac:dyDescent="0.25">
      <c r="B266" s="913">
        <v>2</v>
      </c>
      <c r="C266" s="2925" t="s">
        <v>521</v>
      </c>
      <c r="D266" s="2925"/>
      <c r="E266" s="2925"/>
      <c r="F266" s="2925"/>
      <c r="G266" s="2925"/>
      <c r="H266" s="2925"/>
      <c r="I266" s="2925"/>
      <c r="J266" s="2925"/>
      <c r="K266" s="2926"/>
      <c r="L266" s="897"/>
      <c r="X266" s="899"/>
      <c r="Y266" s="899"/>
      <c r="Z266" s="899"/>
    </row>
    <row r="267" spans="2:26" x14ac:dyDescent="0.2">
      <c r="B267" s="914"/>
      <c r="C267" s="915"/>
      <c r="D267" s="915"/>
      <c r="E267" s="915"/>
      <c r="F267" s="915"/>
      <c r="G267" s="888" t="s">
        <v>449</v>
      </c>
      <c r="H267" s="916" t="s">
        <v>692</v>
      </c>
      <c r="I267" s="874" t="s">
        <v>638</v>
      </c>
      <c r="J267" s="874" t="s">
        <v>639</v>
      </c>
      <c r="K267" s="875" t="s">
        <v>639</v>
      </c>
      <c r="L267" s="662"/>
    </row>
    <row r="268" spans="2:26" x14ac:dyDescent="0.2">
      <c r="B268" s="917"/>
      <c r="C268" s="918"/>
      <c r="D268" s="769"/>
      <c r="E268" s="769"/>
      <c r="F268" s="769"/>
      <c r="G268" s="800" t="s">
        <v>640</v>
      </c>
      <c r="H268" s="800" t="s">
        <v>693</v>
      </c>
      <c r="I268" s="720" t="s">
        <v>644</v>
      </c>
      <c r="J268" s="720" t="s">
        <v>641</v>
      </c>
      <c r="K268" s="721" t="s">
        <v>510</v>
      </c>
      <c r="L268" s="662"/>
    </row>
    <row r="269" spans="2:26" s="900" customFormat="1" ht="12.75" x14ac:dyDescent="0.2">
      <c r="B269" s="919"/>
      <c r="C269" s="920" t="s">
        <v>694</v>
      </c>
      <c r="D269" s="921"/>
      <c r="E269" s="922"/>
      <c r="F269" s="922"/>
      <c r="G269" s="1964">
        <v>8</v>
      </c>
      <c r="H269" s="923" t="s">
        <v>32</v>
      </c>
      <c r="I269" s="924">
        <v>1</v>
      </c>
      <c r="J269" s="925">
        <f>K269*15</f>
        <v>120</v>
      </c>
      <c r="K269" s="926">
        <f>G269*I269</f>
        <v>8</v>
      </c>
      <c r="L269" s="901"/>
      <c r="X269" s="899"/>
      <c r="Y269" s="899"/>
      <c r="Z269" s="899"/>
    </row>
    <row r="270" spans="2:26" s="900" customFormat="1" ht="12.75" x14ac:dyDescent="0.2">
      <c r="B270" s="919"/>
      <c r="C270" s="927" t="s">
        <v>695</v>
      </c>
      <c r="D270" s="928"/>
      <c r="E270" s="929"/>
      <c r="F270" s="929"/>
      <c r="G270" s="741"/>
      <c r="H270" s="930" t="s">
        <v>32</v>
      </c>
      <c r="I270" s="931">
        <v>0.5</v>
      </c>
      <c r="J270" s="842">
        <f>K270*15</f>
        <v>0</v>
      </c>
      <c r="K270" s="774">
        <f>G270*I270</f>
        <v>0</v>
      </c>
      <c r="X270" s="899"/>
      <c r="Y270" s="899"/>
      <c r="Z270" s="899"/>
    </row>
    <row r="271" spans="2:26" s="900" customFormat="1" ht="12.75" x14ac:dyDescent="0.2">
      <c r="B271" s="932"/>
      <c r="C271" s="933" t="s">
        <v>696</v>
      </c>
      <c r="D271" s="934"/>
      <c r="E271" s="935"/>
      <c r="F271" s="935"/>
      <c r="G271" s="936"/>
      <c r="H271" s="937" t="s">
        <v>32</v>
      </c>
      <c r="I271" s="938">
        <v>0.5</v>
      </c>
      <c r="J271" s="939">
        <f>K271*15</f>
        <v>0</v>
      </c>
      <c r="K271" s="940">
        <f>I271*G271</f>
        <v>0</v>
      </c>
      <c r="X271" s="899"/>
      <c r="Y271" s="899"/>
      <c r="Z271" s="899"/>
    </row>
    <row r="272" spans="2:26" s="898" customFormat="1" ht="12.75" x14ac:dyDescent="0.2">
      <c r="B272" s="932"/>
      <c r="C272" s="933" t="s">
        <v>697</v>
      </c>
      <c r="D272" s="934"/>
      <c r="E272" s="935"/>
      <c r="F272" s="935"/>
      <c r="G272" s="941" t="s">
        <v>32</v>
      </c>
      <c r="H272" s="942"/>
      <c r="I272" s="842">
        <v>0.25</v>
      </c>
      <c r="J272" s="842">
        <f>K272*15</f>
        <v>0</v>
      </c>
      <c r="K272" s="940">
        <f>I272*H272</f>
        <v>0</v>
      </c>
      <c r="X272" s="899"/>
      <c r="Y272" s="899"/>
      <c r="Z272" s="899"/>
    </row>
    <row r="273" spans="2:26" s="906" customFormat="1" ht="21" customHeight="1" x14ac:dyDescent="0.2">
      <c r="B273" s="943"/>
      <c r="C273" s="894"/>
      <c r="D273" s="944"/>
      <c r="E273" s="944"/>
      <c r="F273" s="944"/>
      <c r="G273" s="884"/>
      <c r="H273" s="884"/>
      <c r="I273" s="885" t="s">
        <v>456</v>
      </c>
      <c r="J273" s="945">
        <f>SUM(J269:J272)</f>
        <v>120</v>
      </c>
      <c r="K273" s="946">
        <f>SUM(K269:K272)</f>
        <v>8</v>
      </c>
      <c r="X273" s="907"/>
      <c r="Y273" s="907"/>
      <c r="Z273" s="907"/>
    </row>
    <row r="274" spans="2:26" s="905" customFormat="1" ht="11.25" customHeight="1" x14ac:dyDescent="0.2">
      <c r="B274" s="947"/>
      <c r="C274" s="947"/>
      <c r="D274" s="948"/>
      <c r="E274" s="948"/>
      <c r="F274" s="948"/>
      <c r="G274" s="948"/>
      <c r="H274" s="949"/>
      <c r="I274" s="903"/>
      <c r="J274" s="863"/>
      <c r="K274" s="863"/>
      <c r="X274" s="950"/>
      <c r="Y274" s="950"/>
      <c r="Z274" s="950"/>
    </row>
    <row r="275" spans="2:26" s="956" customFormat="1" ht="12" customHeight="1" x14ac:dyDescent="0.2">
      <c r="B275" s="951"/>
      <c r="C275" s="951"/>
      <c r="D275" s="952"/>
      <c r="E275" s="953"/>
      <c r="F275" s="954"/>
      <c r="G275" s="954"/>
      <c r="H275" s="954"/>
      <c r="I275" s="954"/>
      <c r="J275" s="955"/>
      <c r="K275" s="955"/>
      <c r="X275" s="957"/>
      <c r="Y275" s="957"/>
      <c r="Z275" s="957"/>
    </row>
    <row r="276" spans="2:26" ht="18" x14ac:dyDescent="0.25">
      <c r="B276" s="958">
        <v>3</v>
      </c>
      <c r="C276" s="959" t="s">
        <v>522</v>
      </c>
      <c r="D276" s="960"/>
      <c r="E276" s="960"/>
      <c r="F276" s="960"/>
      <c r="G276" s="960"/>
      <c r="H276" s="960"/>
      <c r="I276" s="960"/>
      <c r="J276" s="960"/>
      <c r="K276" s="961"/>
    </row>
    <row r="277" spans="2:26" ht="14.25" customHeight="1" x14ac:dyDescent="0.2">
      <c r="B277" s="914"/>
      <c r="C277" s="915"/>
      <c r="D277" s="915"/>
      <c r="E277" s="915"/>
      <c r="F277" s="915"/>
      <c r="G277" s="962"/>
      <c r="H277" s="963" t="s">
        <v>449</v>
      </c>
      <c r="I277" s="964" t="s">
        <v>638</v>
      </c>
      <c r="J277" s="965" t="s">
        <v>639</v>
      </c>
      <c r="K277" s="965" t="s">
        <v>639</v>
      </c>
    </row>
    <row r="278" spans="2:26" s="898" customFormat="1" ht="12.75" x14ac:dyDescent="0.2">
      <c r="B278" s="917"/>
      <c r="C278" s="918"/>
      <c r="D278" s="769"/>
      <c r="E278" s="769"/>
      <c r="F278" s="769"/>
      <c r="G278" s="828"/>
      <c r="H278" s="966" t="s">
        <v>640</v>
      </c>
      <c r="I278" s="967" t="s">
        <v>644</v>
      </c>
      <c r="J278" s="968" t="s">
        <v>641</v>
      </c>
      <c r="K278" s="968" t="s">
        <v>510</v>
      </c>
      <c r="X278" s="899"/>
      <c r="Y278" s="899"/>
      <c r="Z278" s="899"/>
    </row>
    <row r="279" spans="2:26" s="898" customFormat="1" ht="12.75" x14ac:dyDescent="0.2">
      <c r="B279" s="969"/>
      <c r="C279" s="970" t="s">
        <v>698</v>
      </c>
      <c r="D279" s="971"/>
      <c r="E279" s="971"/>
      <c r="F279" s="971"/>
      <c r="G279" s="971"/>
      <c r="H279" s="1967"/>
      <c r="I279" s="973">
        <v>1</v>
      </c>
      <c r="J279" s="974">
        <f>K279*15</f>
        <v>0</v>
      </c>
      <c r="K279" s="926">
        <f>H279*I279</f>
        <v>0</v>
      </c>
      <c r="X279" s="899"/>
      <c r="Y279" s="899"/>
      <c r="Z279" s="899"/>
    </row>
    <row r="280" spans="2:26" s="898" customFormat="1" ht="12.75" x14ac:dyDescent="0.2">
      <c r="B280" s="969"/>
      <c r="C280" s="975" t="s">
        <v>699</v>
      </c>
      <c r="D280" s="976"/>
      <c r="E280" s="976"/>
      <c r="F280" s="976"/>
      <c r="G280" s="976"/>
      <c r="H280" s="977"/>
      <c r="I280" s="842">
        <v>0.25</v>
      </c>
      <c r="J280" s="939">
        <f>K280*15</f>
        <v>0</v>
      </c>
      <c r="K280" s="774">
        <f>H280*I280</f>
        <v>0</v>
      </c>
      <c r="X280" s="899"/>
      <c r="Y280" s="899"/>
      <c r="Z280" s="899"/>
    </row>
    <row r="281" spans="2:26" s="900" customFormat="1" ht="12.75" x14ac:dyDescent="0.2">
      <c r="B281" s="969"/>
      <c r="C281" s="978" t="s">
        <v>696</v>
      </c>
      <c r="D281" s="976"/>
      <c r="E281" s="976"/>
      <c r="F281" s="976"/>
      <c r="G281" s="976"/>
      <c r="H281" s="977"/>
      <c r="I281" s="842">
        <v>0.25</v>
      </c>
      <c r="J281" s="939">
        <f>K281*15</f>
        <v>0</v>
      </c>
      <c r="K281" s="774">
        <f>H281*I281</f>
        <v>0</v>
      </c>
      <c r="X281" s="899"/>
      <c r="Y281" s="899"/>
      <c r="Z281" s="899"/>
    </row>
    <row r="282" spans="2:26" s="898" customFormat="1" ht="15" x14ac:dyDescent="0.2">
      <c r="B282" s="775"/>
      <c r="C282" s="979"/>
      <c r="D282" s="980"/>
      <c r="E282" s="980"/>
      <c r="F282" s="980"/>
      <c r="G282" s="980"/>
      <c r="H282" s="806"/>
      <c r="I282" s="885" t="s">
        <v>456</v>
      </c>
      <c r="J282" s="945">
        <f>SUM(J279:J281)</f>
        <v>0</v>
      </c>
      <c r="K282" s="946">
        <f>SUM(K279:K281)</f>
        <v>0</v>
      </c>
      <c r="X282" s="899"/>
      <c r="Y282" s="899"/>
      <c r="Z282" s="899"/>
    </row>
    <row r="283" spans="2:26" s="676" customFormat="1" ht="12" customHeight="1" x14ac:dyDescent="0.2">
      <c r="B283" s="817"/>
      <c r="C283" s="817"/>
      <c r="D283" s="981"/>
      <c r="E283" s="981"/>
      <c r="F283" s="981"/>
      <c r="G283" s="981"/>
      <c r="H283" s="667"/>
      <c r="I283" s="903"/>
      <c r="J283" s="863"/>
      <c r="K283" s="863"/>
      <c r="X283" s="684"/>
      <c r="Y283" s="684"/>
      <c r="Z283" s="684"/>
    </row>
    <row r="284" spans="2:26" s="857" customFormat="1" ht="12" customHeight="1" x14ac:dyDescent="0.2">
      <c r="B284" s="659"/>
      <c r="C284" s="659"/>
      <c r="D284" s="982"/>
      <c r="E284" s="661"/>
      <c r="F284" s="659"/>
      <c r="G284" s="661"/>
      <c r="H284" s="661"/>
      <c r="I284" s="661"/>
      <c r="J284" s="659"/>
      <c r="K284" s="659"/>
      <c r="X284" s="667"/>
      <c r="Y284" s="667"/>
      <c r="Z284" s="667"/>
    </row>
    <row r="285" spans="2:26" s="956" customFormat="1" ht="18" x14ac:dyDescent="0.25">
      <c r="B285" s="958">
        <v>4</v>
      </c>
      <c r="C285" s="959" t="s">
        <v>523</v>
      </c>
      <c r="D285" s="959"/>
      <c r="E285" s="959"/>
      <c r="F285" s="959"/>
      <c r="G285" s="959"/>
      <c r="H285" s="959"/>
      <c r="I285" s="959"/>
      <c r="J285" s="959"/>
      <c r="K285" s="983"/>
      <c r="X285" s="957"/>
      <c r="Y285" s="957"/>
      <c r="Z285" s="957"/>
    </row>
    <row r="286" spans="2:26" x14ac:dyDescent="0.2">
      <c r="B286" s="914"/>
      <c r="C286" s="915"/>
      <c r="D286" s="915"/>
      <c r="E286" s="915"/>
      <c r="F286" s="915"/>
      <c r="G286" s="888" t="s">
        <v>449</v>
      </c>
      <c r="H286" s="916" t="s">
        <v>692</v>
      </c>
      <c r="I286" s="874" t="s">
        <v>638</v>
      </c>
      <c r="J286" s="874" t="s">
        <v>639</v>
      </c>
      <c r="K286" s="875" t="s">
        <v>639</v>
      </c>
    </row>
    <row r="287" spans="2:26" ht="12.75" customHeight="1" x14ac:dyDescent="0.2">
      <c r="B287" s="917"/>
      <c r="C287" s="918"/>
      <c r="D287" s="769"/>
      <c r="E287" s="769"/>
      <c r="F287" s="769"/>
      <c r="G287" s="800" t="s">
        <v>640</v>
      </c>
      <c r="H287" s="800" t="s">
        <v>693</v>
      </c>
      <c r="I287" s="720" t="s">
        <v>644</v>
      </c>
      <c r="J287" s="720" t="s">
        <v>641</v>
      </c>
      <c r="K287" s="721" t="s">
        <v>510</v>
      </c>
    </row>
    <row r="288" spans="2:26" s="898" customFormat="1" ht="12.75" x14ac:dyDescent="0.2">
      <c r="B288" s="984"/>
      <c r="C288" s="922" t="s">
        <v>700</v>
      </c>
      <c r="D288" s="985"/>
      <c r="E288" s="985"/>
      <c r="F288" s="985"/>
      <c r="G288" s="972">
        <v>10</v>
      </c>
      <c r="H288" s="923" t="s">
        <v>32</v>
      </c>
      <c r="I288" s="973">
        <v>1</v>
      </c>
      <c r="J288" s="925">
        <f>G288*I288*15</f>
        <v>150</v>
      </c>
      <c r="K288" s="926">
        <f>J288/15</f>
        <v>10</v>
      </c>
      <c r="X288" s="899"/>
      <c r="Y288" s="899"/>
      <c r="Z288" s="899"/>
    </row>
    <row r="289" spans="2:26" s="900" customFormat="1" ht="12.75" x14ac:dyDescent="0.2">
      <c r="B289" s="986"/>
      <c r="C289" s="929" t="s">
        <v>695</v>
      </c>
      <c r="D289" s="987"/>
      <c r="E289" s="987"/>
      <c r="F289" s="987"/>
      <c r="G289" s="977"/>
      <c r="H289" s="930" t="s">
        <v>32</v>
      </c>
      <c r="I289" s="931">
        <v>0.5</v>
      </c>
      <c r="J289" s="842">
        <f>G289*I289*15</f>
        <v>0</v>
      </c>
      <c r="K289" s="774">
        <f>J289/15</f>
        <v>0</v>
      </c>
      <c r="X289" s="899"/>
      <c r="Y289" s="899"/>
      <c r="Z289" s="899"/>
    </row>
    <row r="290" spans="2:26" s="898" customFormat="1" ht="12.75" x14ac:dyDescent="0.2">
      <c r="B290" s="986"/>
      <c r="C290" s="929" t="s">
        <v>701</v>
      </c>
      <c r="D290" s="987"/>
      <c r="E290" s="987"/>
      <c r="F290" s="987"/>
      <c r="G290" s="930" t="s">
        <v>32</v>
      </c>
      <c r="H290" s="977">
        <v>5</v>
      </c>
      <c r="I290" s="841">
        <v>5</v>
      </c>
      <c r="J290" s="842">
        <f>H290*I290</f>
        <v>25</v>
      </c>
      <c r="K290" s="774">
        <f>J290/15</f>
        <v>1.6666666666666667</v>
      </c>
      <c r="X290" s="899"/>
      <c r="Y290" s="899"/>
      <c r="Z290" s="899"/>
    </row>
    <row r="291" spans="2:26" s="956" customFormat="1" x14ac:dyDescent="0.2">
      <c r="B291" s="969"/>
      <c r="C291" s="988" t="s">
        <v>696</v>
      </c>
      <c r="D291" s="935"/>
      <c r="E291" s="935"/>
      <c r="F291" s="935"/>
      <c r="G291" s="936"/>
      <c r="H291" s="937" t="s">
        <v>32</v>
      </c>
      <c r="I291" s="941" t="s">
        <v>32</v>
      </c>
      <c r="J291" s="939">
        <f>K291*15</f>
        <v>0</v>
      </c>
      <c r="K291" s="940">
        <f>IF(AND(G291&lt;&gt;0,G291&lt;&gt;""),IF(G291&lt;&gt;"",IF(G291&lt;20,0.5,1),0),0)</f>
        <v>0</v>
      </c>
      <c r="X291" s="957"/>
      <c r="Y291" s="957"/>
      <c r="Z291" s="957"/>
    </row>
    <row r="292" spans="2:26" s="989" customFormat="1" ht="15" x14ac:dyDescent="0.2">
      <c r="B292" s="775"/>
      <c r="C292" s="979"/>
      <c r="D292" s="980"/>
      <c r="E292" s="980"/>
      <c r="F292" s="980"/>
      <c r="G292" s="806"/>
      <c r="H292" s="806"/>
      <c r="I292" s="885" t="s">
        <v>456</v>
      </c>
      <c r="J292" s="945">
        <f>SUM(J288:J291)</f>
        <v>175</v>
      </c>
      <c r="K292" s="946">
        <f>SUM(K288:K291)</f>
        <v>11.666666666666666</v>
      </c>
      <c r="X292" s="990"/>
      <c r="Y292" s="990"/>
      <c r="Z292" s="990"/>
    </row>
    <row r="293" spans="2:26" s="956" customFormat="1" ht="12" customHeight="1" x14ac:dyDescent="0.2">
      <c r="B293" s="817"/>
      <c r="C293" s="817"/>
      <c r="D293" s="981"/>
      <c r="E293" s="981"/>
      <c r="F293" s="981"/>
      <c r="G293" s="981"/>
      <c r="H293" s="667"/>
      <c r="I293" s="903"/>
      <c r="J293" s="863"/>
      <c r="K293" s="863"/>
      <c r="X293" s="957"/>
      <c r="Y293" s="957"/>
      <c r="Z293" s="957"/>
    </row>
    <row r="294" spans="2:26" ht="12" customHeight="1" x14ac:dyDescent="0.2">
      <c r="B294" s="659"/>
      <c r="C294" s="659"/>
      <c r="D294" s="982"/>
      <c r="E294" s="661"/>
      <c r="F294" s="659"/>
      <c r="G294" s="661"/>
      <c r="H294" s="661"/>
      <c r="I294" s="661"/>
      <c r="J294" s="659"/>
      <c r="K294" s="659"/>
      <c r="L294" s="676"/>
    </row>
    <row r="295" spans="2:26" s="676" customFormat="1" ht="21" customHeight="1" x14ac:dyDescent="0.25">
      <c r="B295" s="958">
        <v>5</v>
      </c>
      <c r="C295" s="959" t="s">
        <v>524</v>
      </c>
      <c r="D295" s="959"/>
      <c r="E295" s="959"/>
      <c r="F295" s="959"/>
      <c r="G295" s="959"/>
      <c r="H295" s="959"/>
      <c r="I295" s="959"/>
      <c r="J295" s="959"/>
      <c r="K295" s="983"/>
      <c r="L295" s="649"/>
      <c r="X295" s="684"/>
      <c r="Y295" s="684"/>
      <c r="Z295" s="684"/>
    </row>
    <row r="296" spans="2:26" x14ac:dyDescent="0.2">
      <c r="B296" s="914"/>
      <c r="C296" s="915"/>
      <c r="D296" s="915"/>
      <c r="E296" s="915"/>
      <c r="F296" s="915"/>
      <c r="G296" s="888" t="s">
        <v>449</v>
      </c>
      <c r="H296" s="916" t="s">
        <v>692</v>
      </c>
      <c r="I296" s="874" t="s">
        <v>638</v>
      </c>
      <c r="J296" s="874" t="s">
        <v>639</v>
      </c>
      <c r="K296" s="875" t="s">
        <v>639</v>
      </c>
      <c r="L296" s="898"/>
    </row>
    <row r="297" spans="2:26" s="898" customFormat="1" ht="12.75" x14ac:dyDescent="0.2">
      <c r="B297" s="917"/>
      <c r="C297" s="918"/>
      <c r="D297" s="769"/>
      <c r="E297" s="769"/>
      <c r="F297" s="769"/>
      <c r="G297" s="800" t="s">
        <v>640</v>
      </c>
      <c r="H297" s="800" t="s">
        <v>693</v>
      </c>
      <c r="I297" s="720" t="s">
        <v>644</v>
      </c>
      <c r="J297" s="720" t="s">
        <v>641</v>
      </c>
      <c r="K297" s="721" t="s">
        <v>510</v>
      </c>
      <c r="X297" s="899"/>
      <c r="Y297" s="899"/>
      <c r="Z297" s="899"/>
    </row>
    <row r="298" spans="2:26" s="898" customFormat="1" ht="12.75" x14ac:dyDescent="0.2">
      <c r="B298" s="984"/>
      <c r="C298" s="991" t="s">
        <v>702</v>
      </c>
      <c r="D298" s="992"/>
      <c r="E298" s="987"/>
      <c r="F298" s="987"/>
      <c r="G298" s="937" t="s">
        <v>32</v>
      </c>
      <c r="H298" s="741"/>
      <c r="I298" s="841">
        <v>5</v>
      </c>
      <c r="J298" s="842">
        <f>H298*I298</f>
        <v>0</v>
      </c>
      <c r="K298" s="774">
        <f>J298/15</f>
        <v>0</v>
      </c>
      <c r="X298" s="899"/>
      <c r="Y298" s="899"/>
      <c r="Z298" s="899"/>
    </row>
    <row r="299" spans="2:26" s="898" customFormat="1" x14ac:dyDescent="0.2">
      <c r="B299" s="969"/>
      <c r="C299" s="993" t="s">
        <v>703</v>
      </c>
      <c r="D299" s="934"/>
      <c r="E299" s="935"/>
      <c r="F299" s="935"/>
      <c r="G299" s="1968"/>
      <c r="H299" s="937" t="s">
        <v>32</v>
      </c>
      <c r="I299" s="841">
        <v>0.5</v>
      </c>
      <c r="J299" s="939">
        <f>K299*15</f>
        <v>0</v>
      </c>
      <c r="K299" s="940">
        <f>IF(AND(G299&lt;&gt;"",G299&lt;&gt;0),IF(G299&lt;&gt;"",IF(G299&lt;20,0.5,1),0),0)</f>
        <v>0</v>
      </c>
      <c r="L299" s="994"/>
      <c r="X299" s="899"/>
      <c r="Y299" s="899"/>
      <c r="Z299" s="899"/>
    </row>
    <row r="300" spans="2:26" s="906" customFormat="1" ht="21" customHeight="1" x14ac:dyDescent="0.2">
      <c r="B300" s="802"/>
      <c r="C300" s="853"/>
      <c r="D300" s="995"/>
      <c r="E300" s="995"/>
      <c r="F300" s="995"/>
      <c r="G300" s="806"/>
      <c r="H300" s="806"/>
      <c r="I300" s="885" t="s">
        <v>456</v>
      </c>
      <c r="J300" s="945">
        <f>SUM(J298:J299)</f>
        <v>0</v>
      </c>
      <c r="K300" s="946">
        <f>SUM(K298:K299)</f>
        <v>0</v>
      </c>
      <c r="L300" s="676"/>
      <c r="X300" s="907"/>
      <c r="Y300" s="907"/>
      <c r="Z300" s="907"/>
    </row>
    <row r="301" spans="2:26" s="997" customFormat="1" ht="12" customHeight="1" x14ac:dyDescent="0.2">
      <c r="B301" s="857"/>
      <c r="C301" s="857"/>
      <c r="D301" s="996"/>
      <c r="E301" s="996"/>
      <c r="F301" s="996"/>
      <c r="G301" s="996"/>
      <c r="H301" s="667"/>
      <c r="I301" s="903"/>
      <c r="J301" s="863"/>
      <c r="K301" s="863"/>
      <c r="L301" s="866"/>
      <c r="X301" s="998"/>
      <c r="Y301" s="998"/>
      <c r="Z301" s="998"/>
    </row>
    <row r="302" spans="2:26" s="676" customFormat="1" ht="12" customHeight="1" x14ac:dyDescent="0.2">
      <c r="B302" s="659"/>
      <c r="C302" s="659"/>
      <c r="D302" s="982"/>
      <c r="E302" s="661"/>
      <c r="F302" s="659"/>
      <c r="G302" s="661"/>
      <c r="H302" s="661"/>
      <c r="I302" s="661"/>
      <c r="J302" s="659"/>
      <c r="K302" s="659"/>
      <c r="L302" s="649"/>
      <c r="X302" s="684"/>
      <c r="Y302" s="684"/>
      <c r="Z302" s="684"/>
    </row>
    <row r="303" spans="2:26" ht="18" x14ac:dyDescent="0.25">
      <c r="B303" s="958">
        <v>6</v>
      </c>
      <c r="C303" s="959" t="s">
        <v>704</v>
      </c>
      <c r="D303" s="959"/>
      <c r="E303" s="959"/>
      <c r="F303" s="959"/>
      <c r="G303" s="959"/>
      <c r="H303" s="959"/>
      <c r="I303" s="959"/>
      <c r="J303" s="959"/>
      <c r="K303" s="983"/>
      <c r="L303" s="999"/>
    </row>
    <row r="304" spans="2:26" s="999" customFormat="1" ht="15" x14ac:dyDescent="0.2">
      <c r="B304" s="685">
        <v>6.1</v>
      </c>
      <c r="C304" s="686" t="s">
        <v>705</v>
      </c>
      <c r="D304" s="687"/>
      <c r="E304" s="687"/>
      <c r="F304" s="687"/>
      <c r="G304" s="687"/>
      <c r="H304" s="689"/>
      <c r="I304" s="689"/>
      <c r="J304" s="1000"/>
      <c r="K304" s="870"/>
      <c r="X304" s="1001"/>
      <c r="Y304" s="1001"/>
      <c r="Z304" s="1001"/>
    </row>
    <row r="305" spans="2:26" s="999" customFormat="1" ht="12.75" x14ac:dyDescent="0.2">
      <c r="B305" s="914"/>
      <c r="C305" s="915"/>
      <c r="D305" s="915"/>
      <c r="E305" s="915"/>
      <c r="F305" s="915"/>
      <c r="G305" s="915"/>
      <c r="H305" s="888" t="s">
        <v>449</v>
      </c>
      <c r="I305" s="874" t="s">
        <v>638</v>
      </c>
      <c r="J305" s="874" t="s">
        <v>639</v>
      </c>
      <c r="K305" s="875" t="s">
        <v>639</v>
      </c>
      <c r="L305" s="898"/>
      <c r="X305" s="1001"/>
      <c r="Y305" s="1001"/>
      <c r="Z305" s="1001"/>
    </row>
    <row r="306" spans="2:26" s="898" customFormat="1" x14ac:dyDescent="0.2">
      <c r="B306" s="917"/>
      <c r="C306" s="918"/>
      <c r="D306" s="769"/>
      <c r="E306" s="769"/>
      <c r="F306" s="769"/>
      <c r="G306" s="769"/>
      <c r="H306" s="800" t="s">
        <v>640</v>
      </c>
      <c r="I306" s="720" t="s">
        <v>644</v>
      </c>
      <c r="J306" s="720" t="s">
        <v>641</v>
      </c>
      <c r="K306" s="721" t="s">
        <v>510</v>
      </c>
      <c r="L306" s="994"/>
      <c r="X306" s="899"/>
      <c r="Y306" s="899"/>
      <c r="Z306" s="899"/>
    </row>
    <row r="307" spans="2:26" s="906" customFormat="1" x14ac:dyDescent="0.2">
      <c r="B307" s="984"/>
      <c r="C307" s="1002" t="s">
        <v>706</v>
      </c>
      <c r="D307" s="929"/>
      <c r="E307" s="929"/>
      <c r="F307" s="929"/>
      <c r="G307" s="929"/>
      <c r="H307" s="741"/>
      <c r="I307" s="1003">
        <v>3</v>
      </c>
      <c r="J307" s="842">
        <f>K307*15</f>
        <v>0</v>
      </c>
      <c r="K307" s="774">
        <f>I307*H307</f>
        <v>0</v>
      </c>
      <c r="L307" s="676"/>
      <c r="X307" s="907"/>
      <c r="Y307" s="907"/>
      <c r="Z307" s="907"/>
    </row>
    <row r="308" spans="2:26" s="997" customFormat="1" x14ac:dyDescent="0.2">
      <c r="B308" s="986"/>
      <c r="C308" s="1002" t="s">
        <v>707</v>
      </c>
      <c r="D308" s="1004"/>
      <c r="E308" s="1004"/>
      <c r="F308" s="1004"/>
      <c r="G308" s="1004"/>
      <c r="H308" s="741"/>
      <c r="I308" s="931">
        <v>1.5</v>
      </c>
      <c r="J308" s="842">
        <f>K308*15</f>
        <v>0</v>
      </c>
      <c r="K308" s="774">
        <f>I308*H308</f>
        <v>0</v>
      </c>
      <c r="L308" s="866"/>
      <c r="X308" s="998"/>
      <c r="Y308" s="998"/>
      <c r="Z308" s="998"/>
    </row>
    <row r="309" spans="2:26" s="676" customFormat="1" ht="21" customHeight="1" x14ac:dyDescent="0.2">
      <c r="B309" s="802"/>
      <c r="C309" s="853"/>
      <c r="D309" s="995"/>
      <c r="E309" s="995"/>
      <c r="F309" s="995"/>
      <c r="G309" s="995"/>
      <c r="H309" s="806"/>
      <c r="I309" s="885" t="s">
        <v>456</v>
      </c>
      <c r="J309" s="945">
        <f>SUM(J307:J308)</f>
        <v>0</v>
      </c>
      <c r="K309" s="946">
        <f>SUM(K307:K308)</f>
        <v>0</v>
      </c>
      <c r="L309" s="649"/>
      <c r="X309" s="684"/>
      <c r="Y309" s="684"/>
      <c r="Z309" s="684"/>
    </row>
    <row r="310" spans="2:26" ht="9.75" customHeight="1" x14ac:dyDescent="0.2">
      <c r="B310" s="1005"/>
      <c r="C310" s="1006"/>
      <c r="D310" s="1007"/>
      <c r="E310" s="1007"/>
      <c r="F310" s="1007"/>
      <c r="G310" s="1007"/>
      <c r="H310" s="1008"/>
      <c r="I310" s="1008"/>
      <c r="J310" s="1009"/>
      <c r="K310" s="1010"/>
      <c r="L310" s="659"/>
    </row>
    <row r="311" spans="2:26" s="898" customFormat="1" ht="15" x14ac:dyDescent="0.2">
      <c r="B311" s="685">
        <v>6.2</v>
      </c>
      <c r="C311" s="686" t="s">
        <v>708</v>
      </c>
      <c r="D311" s="687"/>
      <c r="E311" s="687"/>
      <c r="F311" s="687"/>
      <c r="G311" s="687"/>
      <c r="H311" s="1011"/>
      <c r="I311" s="688"/>
      <c r="J311" s="687"/>
      <c r="K311" s="1012"/>
      <c r="L311" s="1013"/>
      <c r="X311" s="899"/>
      <c r="Y311" s="899"/>
      <c r="Z311" s="899"/>
    </row>
    <row r="312" spans="2:26" s="898" customFormat="1" ht="12.75" x14ac:dyDescent="0.2">
      <c r="B312" s="914"/>
      <c r="C312" s="915"/>
      <c r="D312" s="915"/>
      <c r="E312" s="915"/>
      <c r="F312" s="915"/>
      <c r="G312" s="915"/>
      <c r="H312" s="888" t="s">
        <v>449</v>
      </c>
      <c r="I312" s="874" t="s">
        <v>638</v>
      </c>
      <c r="J312" s="874" t="s">
        <v>639</v>
      </c>
      <c r="K312" s="875" t="s">
        <v>639</v>
      </c>
      <c r="L312" s="1013"/>
      <c r="X312" s="899"/>
      <c r="Y312" s="899"/>
      <c r="Z312" s="899"/>
    </row>
    <row r="313" spans="2:26" s="898" customFormat="1" ht="12.75" x14ac:dyDescent="0.2">
      <c r="B313" s="917"/>
      <c r="C313" s="918"/>
      <c r="D313" s="769"/>
      <c r="E313" s="769"/>
      <c r="F313" s="769"/>
      <c r="G313" s="769"/>
      <c r="H313" s="800" t="s">
        <v>640</v>
      </c>
      <c r="I313" s="720" t="s">
        <v>644</v>
      </c>
      <c r="J313" s="720" t="s">
        <v>641</v>
      </c>
      <c r="K313" s="721" t="s">
        <v>510</v>
      </c>
      <c r="L313" s="1013"/>
      <c r="X313" s="899"/>
      <c r="Y313" s="899"/>
      <c r="Z313" s="899"/>
    </row>
    <row r="314" spans="2:26" s="906" customFormat="1" x14ac:dyDescent="0.2">
      <c r="B314" s="1014"/>
      <c r="C314" s="1015" t="s">
        <v>709</v>
      </c>
      <c r="D314" s="1016"/>
      <c r="E314" s="1017"/>
      <c r="F314" s="1017"/>
      <c r="G314" s="1017"/>
      <c r="H314" s="741"/>
      <c r="I314" s="1003">
        <v>2</v>
      </c>
      <c r="J314" s="842">
        <f>K314*15</f>
        <v>0</v>
      </c>
      <c r="K314" s="774">
        <f>H314*I314</f>
        <v>0</v>
      </c>
      <c r="L314" s="694"/>
      <c r="X314" s="907"/>
      <c r="Y314" s="907"/>
      <c r="Z314" s="907"/>
    </row>
    <row r="315" spans="2:26" s="997" customFormat="1" x14ac:dyDescent="0.2">
      <c r="B315" s="1018"/>
      <c r="C315" s="1015" t="s">
        <v>710</v>
      </c>
      <c r="D315" s="1016"/>
      <c r="E315" s="1017"/>
      <c r="F315" s="1017"/>
      <c r="G315" s="1017"/>
      <c r="H315" s="741">
        <v>7</v>
      </c>
      <c r="I315" s="1003">
        <v>1</v>
      </c>
      <c r="J315" s="842">
        <f>K315*15</f>
        <v>105</v>
      </c>
      <c r="K315" s="774">
        <f>H315*I315</f>
        <v>7</v>
      </c>
      <c r="L315" s="1019"/>
      <c r="X315" s="998"/>
      <c r="Y315" s="998"/>
      <c r="Z315" s="998"/>
    </row>
    <row r="316" spans="2:26" s="676" customFormat="1" ht="21" customHeight="1" x14ac:dyDescent="0.2">
      <c r="B316" s="802"/>
      <c r="C316" s="853"/>
      <c r="D316" s="995"/>
      <c r="E316" s="995"/>
      <c r="F316" s="995"/>
      <c r="G316" s="995"/>
      <c r="H316" s="806"/>
      <c r="I316" s="885" t="s">
        <v>456</v>
      </c>
      <c r="J316" s="945">
        <f>SUM(J314:J315)</f>
        <v>105</v>
      </c>
      <c r="K316" s="946">
        <f>SUM(K314:K315)</f>
        <v>7</v>
      </c>
      <c r="L316" s="694"/>
      <c r="X316" s="684"/>
      <c r="Y316" s="684"/>
      <c r="Z316" s="684"/>
    </row>
    <row r="317" spans="2:26" ht="9.75" customHeight="1" x14ac:dyDescent="0.2">
      <c r="B317" s="1005"/>
      <c r="C317" s="1006"/>
      <c r="D317" s="1007"/>
      <c r="E317" s="1007"/>
      <c r="F317" s="1007"/>
      <c r="G317" s="1007"/>
      <c r="H317" s="1008"/>
      <c r="I317" s="1008"/>
      <c r="J317" s="1009"/>
      <c r="K317" s="1010"/>
      <c r="L317" s="659"/>
    </row>
    <row r="318" spans="2:26" s="898" customFormat="1" ht="15.75" x14ac:dyDescent="0.2">
      <c r="B318" s="685">
        <v>6.3</v>
      </c>
      <c r="C318" s="686" t="s">
        <v>711</v>
      </c>
      <c r="D318" s="1020"/>
      <c r="E318" s="1020"/>
      <c r="F318" s="1020"/>
      <c r="G318" s="1020"/>
      <c r="H318" s="688"/>
      <c r="I318" s="688"/>
      <c r="J318" s="687"/>
      <c r="K318" s="1012"/>
      <c r="L318" s="1013"/>
      <c r="X318" s="899"/>
      <c r="Y318" s="899"/>
      <c r="Z318" s="899"/>
    </row>
    <row r="319" spans="2:26" s="900" customFormat="1" ht="12.75" x14ac:dyDescent="0.2">
      <c r="B319" s="914"/>
      <c r="C319" s="915"/>
      <c r="D319" s="915"/>
      <c r="E319" s="915"/>
      <c r="F319" s="915"/>
      <c r="G319" s="915"/>
      <c r="H319" s="888" t="s">
        <v>449</v>
      </c>
      <c r="I319" s="874" t="s">
        <v>638</v>
      </c>
      <c r="J319" s="874" t="s">
        <v>639</v>
      </c>
      <c r="K319" s="875" t="s">
        <v>639</v>
      </c>
      <c r="L319" s="1021"/>
      <c r="X319" s="899"/>
      <c r="Y319" s="899"/>
      <c r="Z319" s="899"/>
    </row>
    <row r="320" spans="2:26" s="898" customFormat="1" ht="12.75" x14ac:dyDescent="0.2">
      <c r="B320" s="917"/>
      <c r="C320" s="918"/>
      <c r="D320" s="769"/>
      <c r="E320" s="769"/>
      <c r="F320" s="769"/>
      <c r="G320" s="769"/>
      <c r="H320" s="800" t="s">
        <v>640</v>
      </c>
      <c r="I320" s="720" t="s">
        <v>644</v>
      </c>
      <c r="J320" s="720" t="s">
        <v>641</v>
      </c>
      <c r="K320" s="721" t="s">
        <v>510</v>
      </c>
      <c r="L320" s="1013"/>
      <c r="X320" s="899"/>
      <c r="Y320" s="899"/>
      <c r="Z320" s="899"/>
    </row>
    <row r="321" spans="2:26" s="906" customFormat="1" x14ac:dyDescent="0.2">
      <c r="B321" s="984"/>
      <c r="C321" s="1015" t="s">
        <v>712</v>
      </c>
      <c r="D321" s="975"/>
      <c r="E321" s="1022"/>
      <c r="F321" s="1022"/>
      <c r="G321" s="1022"/>
      <c r="H321" s="741"/>
      <c r="I321" s="841">
        <v>1</v>
      </c>
      <c r="J321" s="842">
        <f>K321*15</f>
        <v>0</v>
      </c>
      <c r="K321" s="774">
        <f>H321*I321</f>
        <v>0</v>
      </c>
      <c r="L321" s="1013"/>
      <c r="M321" s="898"/>
      <c r="N321" s="898"/>
      <c r="O321" s="898"/>
      <c r="P321" s="898"/>
      <c r="Q321" s="898"/>
      <c r="X321" s="907"/>
      <c r="Y321" s="907"/>
      <c r="Z321" s="907"/>
    </row>
    <row r="322" spans="2:26" s="911" customFormat="1" x14ac:dyDescent="0.2">
      <c r="B322" s="986"/>
      <c r="C322" s="1015" t="s">
        <v>713</v>
      </c>
      <c r="D322" s="975"/>
      <c r="E322" s="1022"/>
      <c r="F322" s="1022"/>
      <c r="G322" s="1022"/>
      <c r="H322" s="741">
        <v>1</v>
      </c>
      <c r="I322" s="841">
        <v>0.5</v>
      </c>
      <c r="J322" s="842">
        <f>K322*15</f>
        <v>7.5</v>
      </c>
      <c r="K322" s="774">
        <f>H322*I322</f>
        <v>0.5</v>
      </c>
      <c r="L322" s="1013"/>
      <c r="M322" s="898"/>
      <c r="N322" s="898"/>
      <c r="O322" s="898"/>
      <c r="P322" s="898"/>
      <c r="Q322" s="898"/>
      <c r="X322" s="912"/>
      <c r="Y322" s="912"/>
      <c r="Z322" s="912"/>
    </row>
    <row r="323" spans="2:26" s="956" customFormat="1" ht="15" x14ac:dyDescent="0.2">
      <c r="B323" s="802"/>
      <c r="C323" s="853"/>
      <c r="D323" s="995"/>
      <c r="E323" s="995"/>
      <c r="F323" s="995"/>
      <c r="G323" s="995"/>
      <c r="H323" s="806"/>
      <c r="I323" s="885" t="s">
        <v>456</v>
      </c>
      <c r="J323" s="945">
        <f>J321+J322</f>
        <v>7.5</v>
      </c>
      <c r="K323" s="946">
        <f>K321+K322</f>
        <v>0.5</v>
      </c>
      <c r="L323" s="1013"/>
      <c r="M323" s="898"/>
      <c r="N323" s="898"/>
      <c r="O323" s="898"/>
      <c r="P323" s="898"/>
      <c r="Q323" s="898"/>
      <c r="X323" s="957"/>
      <c r="Y323" s="957"/>
      <c r="Z323" s="957"/>
    </row>
    <row r="324" spans="2:26" ht="9.75" customHeight="1" x14ac:dyDescent="0.2">
      <c r="B324" s="1005"/>
      <c r="C324" s="1006"/>
      <c r="D324" s="1007"/>
      <c r="E324" s="1007"/>
      <c r="F324" s="1007"/>
      <c r="G324" s="1007"/>
      <c r="H324" s="1008"/>
      <c r="I324" s="1008"/>
      <c r="J324" s="1009"/>
      <c r="K324" s="1010"/>
      <c r="L324" s="1013"/>
      <c r="M324" s="898"/>
      <c r="N324" s="898"/>
      <c r="O324" s="898"/>
      <c r="P324" s="898"/>
      <c r="Q324" s="898"/>
    </row>
    <row r="325" spans="2:26" s="755" customFormat="1" ht="20.25" customHeight="1" x14ac:dyDescent="0.2">
      <c r="B325" s="685">
        <v>6.4</v>
      </c>
      <c r="C325" s="686" t="s">
        <v>714</v>
      </c>
      <c r="D325" s="687"/>
      <c r="E325" s="687"/>
      <c r="F325" s="687"/>
      <c r="G325" s="687"/>
      <c r="H325" s="688"/>
      <c r="I325" s="688"/>
      <c r="J325" s="687"/>
      <c r="K325" s="1012"/>
      <c r="L325" s="1013"/>
      <c r="M325" s="898"/>
      <c r="N325" s="898"/>
      <c r="O325" s="898"/>
      <c r="P325" s="898"/>
      <c r="Q325" s="898"/>
      <c r="X325" s="756"/>
      <c r="Y325" s="756"/>
      <c r="Z325" s="756"/>
    </row>
    <row r="326" spans="2:26" s="1023" customFormat="1" ht="12.75" x14ac:dyDescent="0.2">
      <c r="B326" s="914"/>
      <c r="C326" s="915"/>
      <c r="D326" s="915"/>
      <c r="E326" s="915"/>
      <c r="F326" s="915"/>
      <c r="G326" s="915"/>
      <c r="H326" s="888" t="s">
        <v>449</v>
      </c>
      <c r="I326" s="874" t="s">
        <v>638</v>
      </c>
      <c r="J326" s="874" t="s">
        <v>639</v>
      </c>
      <c r="K326" s="875" t="s">
        <v>639</v>
      </c>
      <c r="L326" s="1013"/>
      <c r="M326" s="898"/>
      <c r="N326" s="898"/>
      <c r="O326" s="898"/>
      <c r="P326" s="898"/>
      <c r="Q326" s="898"/>
      <c r="X326" s="784"/>
      <c r="Y326" s="784"/>
      <c r="Z326" s="784"/>
    </row>
    <row r="327" spans="2:26" s="1023" customFormat="1" ht="12.75" x14ac:dyDescent="0.2">
      <c r="B327" s="917"/>
      <c r="C327" s="918"/>
      <c r="D327" s="769"/>
      <c r="E327" s="769"/>
      <c r="F327" s="769"/>
      <c r="G327" s="769"/>
      <c r="H327" s="800" t="s">
        <v>640</v>
      </c>
      <c r="I327" s="720" t="s">
        <v>644</v>
      </c>
      <c r="J327" s="720" t="s">
        <v>641</v>
      </c>
      <c r="K327" s="721" t="s">
        <v>510</v>
      </c>
      <c r="L327" s="1013"/>
      <c r="M327" s="898"/>
      <c r="N327" s="898"/>
      <c r="O327" s="898"/>
      <c r="P327" s="898"/>
      <c r="Q327" s="898"/>
      <c r="R327" s="1024"/>
      <c r="S327" s="1024"/>
      <c r="X327" s="784"/>
      <c r="Y327" s="784"/>
      <c r="Z327" s="784"/>
    </row>
    <row r="328" spans="2:26" s="1023" customFormat="1" ht="12.75" x14ac:dyDescent="0.2">
      <c r="B328" s="984"/>
      <c r="C328" s="1025" t="s">
        <v>715</v>
      </c>
      <c r="D328" s="975"/>
      <c r="E328" s="1022"/>
      <c r="F328" s="1022"/>
      <c r="G328" s="1022"/>
      <c r="H328" s="1026"/>
      <c r="I328" s="938">
        <v>3</v>
      </c>
      <c r="J328" s="939">
        <f>I328*H328</f>
        <v>0</v>
      </c>
      <c r="K328" s="940">
        <f>J328/15</f>
        <v>0</v>
      </c>
      <c r="L328" s="1013"/>
      <c r="M328" s="898"/>
      <c r="N328" s="898"/>
      <c r="O328" s="898"/>
      <c r="P328" s="898"/>
      <c r="Q328" s="898"/>
      <c r="R328" s="1024"/>
      <c r="S328" s="1024"/>
      <c r="X328" s="784"/>
      <c r="Y328" s="784"/>
      <c r="Z328" s="784"/>
    </row>
    <row r="329" spans="2:26" s="1023" customFormat="1" x14ac:dyDescent="0.2">
      <c r="B329" s="969"/>
      <c r="C329" s="991" t="s">
        <v>716</v>
      </c>
      <c r="D329" s="928"/>
      <c r="E329" s="929"/>
      <c r="F329" s="929"/>
      <c r="G329" s="929"/>
      <c r="H329" s="1026"/>
      <c r="I329" s="938">
        <v>3</v>
      </c>
      <c r="J329" s="939">
        <f>I329*H329</f>
        <v>0</v>
      </c>
      <c r="K329" s="940">
        <f>J329/15</f>
        <v>0</v>
      </c>
      <c r="L329" s="694"/>
      <c r="M329" s="906"/>
      <c r="N329" s="906"/>
      <c r="O329" s="906"/>
      <c r="P329" s="906"/>
      <c r="Q329" s="906"/>
      <c r="R329" s="1024"/>
      <c r="S329" s="1024"/>
      <c r="U329" s="784"/>
    </row>
    <row r="330" spans="2:26" s="1023" customFormat="1" ht="15" x14ac:dyDescent="0.2">
      <c r="B330" s="802"/>
      <c r="C330" s="853"/>
      <c r="D330" s="995"/>
      <c r="E330" s="995"/>
      <c r="F330" s="995"/>
      <c r="G330" s="995"/>
      <c r="H330" s="806"/>
      <c r="I330" s="885" t="s">
        <v>456</v>
      </c>
      <c r="J330" s="945">
        <f>SUM(J328:J329)</f>
        <v>0</v>
      </c>
      <c r="K330" s="946">
        <f>SUM(K328:K329)</f>
        <v>0</v>
      </c>
      <c r="L330" s="857"/>
      <c r="M330" s="911"/>
      <c r="N330" s="911"/>
      <c r="O330" s="911"/>
      <c r="P330" s="911"/>
      <c r="Q330" s="911"/>
      <c r="R330" s="1024"/>
      <c r="S330" s="1024"/>
      <c r="U330" s="784"/>
    </row>
    <row r="331" spans="2:26" s="1023" customFormat="1" ht="15" x14ac:dyDescent="0.2">
      <c r="B331" s="857"/>
      <c r="C331" s="857"/>
      <c r="D331" s="996"/>
      <c r="E331" s="996"/>
      <c r="F331" s="996"/>
      <c r="G331" s="996"/>
      <c r="H331" s="667"/>
      <c r="I331" s="903"/>
      <c r="J331" s="863"/>
      <c r="K331" s="863"/>
      <c r="L331" s="994"/>
      <c r="M331" s="956"/>
      <c r="N331" s="956"/>
      <c r="O331" s="956"/>
      <c r="P331" s="956"/>
      <c r="Q331" s="956"/>
      <c r="R331" s="1024"/>
      <c r="S331" s="1024"/>
      <c r="U331" s="784"/>
    </row>
    <row r="332" spans="2:26" s="1023" customFormat="1" x14ac:dyDescent="0.2">
      <c r="B332" s="659"/>
      <c r="C332" s="659"/>
      <c r="D332" s="982"/>
      <c r="E332" s="661"/>
      <c r="F332" s="659"/>
      <c r="G332" s="661"/>
      <c r="H332" s="661"/>
      <c r="I332" s="661"/>
      <c r="J332" s="659"/>
      <c r="K332" s="659"/>
      <c r="L332" s="659"/>
      <c r="M332" s="649"/>
      <c r="N332" s="649"/>
      <c r="O332" s="649"/>
      <c r="P332" s="649"/>
      <c r="Q332" s="649"/>
      <c r="R332" s="1024"/>
      <c r="S332" s="1024"/>
      <c r="U332" s="784"/>
    </row>
    <row r="333" spans="2:26" s="1023" customFormat="1" ht="18" x14ac:dyDescent="0.25">
      <c r="B333" s="958">
        <v>7</v>
      </c>
      <c r="C333" s="959" t="s">
        <v>528</v>
      </c>
      <c r="D333" s="960"/>
      <c r="E333" s="960"/>
      <c r="F333" s="960"/>
      <c r="G333" s="960"/>
      <c r="H333" s="960"/>
      <c r="I333" s="960"/>
      <c r="J333" s="960"/>
      <c r="K333" s="961"/>
      <c r="L333" s="1027"/>
      <c r="M333" s="755"/>
      <c r="N333" s="755"/>
      <c r="O333" s="755"/>
      <c r="P333" s="755"/>
      <c r="Q333" s="755"/>
      <c r="R333" s="1024"/>
      <c r="S333" s="1024"/>
      <c r="U333" s="784"/>
    </row>
    <row r="334" spans="2:26" s="1023" customFormat="1" ht="15" x14ac:dyDescent="0.2">
      <c r="B334" s="1028">
        <v>7.1</v>
      </c>
      <c r="C334" s="1029" t="s">
        <v>717</v>
      </c>
      <c r="D334" s="1030"/>
      <c r="E334" s="1030"/>
      <c r="F334" s="1030"/>
      <c r="G334" s="1030"/>
      <c r="H334" s="1031"/>
      <c r="I334" s="1031"/>
      <c r="J334" s="1032"/>
      <c r="K334" s="1033"/>
      <c r="Q334" s="1024"/>
      <c r="R334" s="1024"/>
      <c r="S334" s="1024"/>
      <c r="U334" s="784"/>
    </row>
    <row r="335" spans="2:26" x14ac:dyDescent="0.2">
      <c r="B335" s="1034"/>
      <c r="C335" s="1035"/>
      <c r="D335" s="1036"/>
      <c r="E335" s="1036"/>
      <c r="F335" s="1036"/>
      <c r="G335" s="702" t="s">
        <v>718</v>
      </c>
      <c r="H335" s="1037" t="s">
        <v>719</v>
      </c>
      <c r="I335" s="1038" t="s">
        <v>638</v>
      </c>
      <c r="J335" s="705" t="s">
        <v>639</v>
      </c>
      <c r="K335" s="826" t="s">
        <v>639</v>
      </c>
      <c r="L335" s="1023"/>
      <c r="M335" s="1023"/>
      <c r="N335" s="1023"/>
      <c r="O335" s="1023"/>
      <c r="P335" s="1023"/>
      <c r="Q335" s="1024"/>
      <c r="S335" s="650"/>
      <c r="T335" s="650"/>
      <c r="U335" s="650"/>
      <c r="X335" s="649"/>
      <c r="Y335" s="649"/>
      <c r="Z335" s="649"/>
    </row>
    <row r="336" spans="2:26" s="652" customFormat="1" x14ac:dyDescent="0.2">
      <c r="B336" s="1039"/>
      <c r="C336" s="2909" t="s">
        <v>720</v>
      </c>
      <c r="D336" s="2909"/>
      <c r="E336" s="2909"/>
      <c r="F336" s="2910"/>
      <c r="G336" s="710" t="s">
        <v>721</v>
      </c>
      <c r="H336" s="1040" t="s">
        <v>722</v>
      </c>
      <c r="I336" s="713" t="s">
        <v>644</v>
      </c>
      <c r="J336" s="713" t="s">
        <v>641</v>
      </c>
      <c r="K336" s="706" t="s">
        <v>510</v>
      </c>
      <c r="L336" s="1023"/>
      <c r="M336" s="1023"/>
      <c r="N336" s="1024"/>
      <c r="O336" s="1024"/>
      <c r="P336" s="1024"/>
      <c r="Q336" s="1024"/>
      <c r="U336" s="651"/>
      <c r="V336" s="651"/>
      <c r="W336" s="651"/>
    </row>
    <row r="337" spans="2:26" s="755" customFormat="1" ht="12.75" x14ac:dyDescent="0.2">
      <c r="B337" s="1041"/>
      <c r="C337" s="1042"/>
      <c r="D337" s="918"/>
      <c r="E337" s="918"/>
      <c r="F337" s="918"/>
      <c r="G337" s="1141" t="s">
        <v>898</v>
      </c>
      <c r="H337" s="1043" t="s">
        <v>723</v>
      </c>
      <c r="I337" s="1044"/>
      <c r="J337" s="1044"/>
      <c r="K337" s="1045"/>
      <c r="L337" s="1023"/>
      <c r="M337" s="1023"/>
      <c r="N337" s="1024"/>
      <c r="O337" s="1024"/>
      <c r="P337" s="1024"/>
      <c r="Q337" s="1024"/>
      <c r="X337" s="756"/>
      <c r="Y337" s="756"/>
      <c r="Z337" s="756"/>
    </row>
    <row r="338" spans="2:26" s="1023" customFormat="1" ht="12.75" x14ac:dyDescent="0.2">
      <c r="B338" s="832" t="s">
        <v>646</v>
      </c>
      <c r="C338" s="2931" t="s">
        <v>724</v>
      </c>
      <c r="D338" s="2932"/>
      <c r="E338" s="2932"/>
      <c r="F338" s="2933"/>
      <c r="G338" s="2026">
        <v>241268</v>
      </c>
      <c r="H338" s="1129" t="str">
        <f>IF(C338="","",IF(N338="","",IF(P338=1,"คิดภาระงานได้","คิดภาระงานไม่ได้")))</f>
        <v>คิดภาระงานได้</v>
      </c>
      <c r="I338" s="1130">
        <f>IF(C338="",0,IF(H338="",0,IF(N338=0,"",IF(P338=1,120,0))))</f>
        <v>120</v>
      </c>
      <c r="J338" s="1131">
        <f>IF(OR(C338="",H338=""),0,IF(I338&gt;0,I338,0))</f>
        <v>120</v>
      </c>
      <c r="K338" s="1132">
        <f t="shared" ref="K338:K343" si="44">J338/15</f>
        <v>8</v>
      </c>
      <c r="N338" s="1515">
        <f>IF(G338=0/1/1900,"",G338)</f>
        <v>241268</v>
      </c>
      <c r="O338" s="1516">
        <f>IF(C338="","",IF(N338&lt;&gt;"",DATE(YEAR(N338)+3,MONTH(N338),DAY(N338)),""))</f>
        <v>242363</v>
      </c>
      <c r="P338" s="1048">
        <f>IF(O338="","",IF(OR($O$5&lt;=O338,AND(O338&gt;=$N$5,O338&lt;=$O$5)),1,0))</f>
        <v>1</v>
      </c>
      <c r="Q338" s="1048"/>
      <c r="X338" s="784"/>
      <c r="Y338" s="784"/>
      <c r="Z338" s="784"/>
    </row>
    <row r="339" spans="2:26" s="1023" customFormat="1" ht="12.75" x14ac:dyDescent="0.2">
      <c r="B339" s="1133" t="s">
        <v>725</v>
      </c>
      <c r="C339" s="2927"/>
      <c r="D339" s="2928"/>
      <c r="E339" s="2928"/>
      <c r="F339" s="2929"/>
      <c r="G339" s="2023"/>
      <c r="H339" s="1134" t="str">
        <f>IF(C339="","",IF(N339="","",IF(P339=1,"คิดภาระงานได้","คิดภาระงานไม่ได้")))</f>
        <v/>
      </c>
      <c r="I339" s="1135">
        <f>IF(C339="",0,IF(H339="",0,IF(N339=0,"",IF(P339=1,120,0))))</f>
        <v>0</v>
      </c>
      <c r="J339" s="1136">
        <f>IF(OR(G339="",H339=""),0,IF(P339&gt;3,0,I339))</f>
        <v>0</v>
      </c>
      <c r="K339" s="1137">
        <f t="shared" si="44"/>
        <v>0</v>
      </c>
      <c r="N339" s="1515" t="str">
        <f t="shared" ref="N339:N343" si="45">IF(G339=0/1/1900,"",G339)</f>
        <v/>
      </c>
      <c r="O339" s="1516" t="str">
        <f t="shared" ref="O339:O343" si="46">IF(C339="","",IF(N339&lt;&gt;"",DATE(YEAR(N339)+3,MONTH(N339),DAY(N339)),""))</f>
        <v/>
      </c>
      <c r="P339" s="1048" t="str">
        <f>IF(O339="","",IF(OR($O$5&lt;=O339,AND(O339&gt;=$N$5,O339&lt;=$O$5)),1,0))</f>
        <v/>
      </c>
      <c r="Q339" s="1048"/>
      <c r="X339" s="784"/>
      <c r="Y339" s="784"/>
      <c r="Z339" s="784"/>
    </row>
    <row r="340" spans="2:26" s="1023" customFormat="1" ht="12.75" x14ac:dyDescent="0.2">
      <c r="B340" s="1133" t="s">
        <v>726</v>
      </c>
      <c r="C340" s="2927"/>
      <c r="D340" s="2928"/>
      <c r="E340" s="2928"/>
      <c r="F340" s="2929"/>
      <c r="G340" s="2023"/>
      <c r="H340" s="1134" t="str">
        <f t="shared" ref="H340:H343" si="47">IF(C340="","",IF(N340="","",IF(P340=1,"คิดภาระงานได้","คิดภาระงานไม่ได้")))</f>
        <v/>
      </c>
      <c r="I340" s="1135">
        <f t="shared" ref="I340:I343" si="48">IF(C340="",0,IF(H340="",0,IF(N340=0,"",IF(P340=1,120,0))))</f>
        <v>0</v>
      </c>
      <c r="J340" s="1136">
        <f>IF(OR(G340="",H340=""),0,IF(P340&gt;3,0,I340))</f>
        <v>0</v>
      </c>
      <c r="K340" s="1137">
        <f t="shared" si="44"/>
        <v>0</v>
      </c>
      <c r="N340" s="1515" t="str">
        <f t="shared" si="45"/>
        <v/>
      </c>
      <c r="O340" s="1516" t="str">
        <f t="shared" si="46"/>
        <v/>
      </c>
      <c r="P340" s="1048" t="str">
        <f t="shared" ref="P340:P343" si="49">IF(O340="","",IF(OR($O$5&lt;=O340,AND(O340&gt;=$N$5,O340&lt;=$O$5)),1,0))</f>
        <v/>
      </c>
      <c r="Q340" s="1048"/>
      <c r="X340" s="784"/>
      <c r="Y340" s="784"/>
      <c r="Z340" s="784"/>
    </row>
    <row r="341" spans="2:26" s="1023" customFormat="1" ht="12.75" x14ac:dyDescent="0.2">
      <c r="B341" s="1133" t="s">
        <v>727</v>
      </c>
      <c r="C341" s="2930"/>
      <c r="D341" s="2928"/>
      <c r="E341" s="2928"/>
      <c r="F341" s="2929"/>
      <c r="G341" s="2023"/>
      <c r="H341" s="1134" t="str">
        <f t="shared" si="47"/>
        <v/>
      </c>
      <c r="I341" s="1135">
        <f t="shared" si="48"/>
        <v>0</v>
      </c>
      <c r="J341" s="1136">
        <f t="shared" ref="J341:J343" si="50">IF(OR(G341="",H341=""),0,IF(P341&gt;3,0,I341))</f>
        <v>0</v>
      </c>
      <c r="K341" s="1137">
        <f t="shared" si="44"/>
        <v>0</v>
      </c>
      <c r="N341" s="1515" t="str">
        <f t="shared" si="45"/>
        <v/>
      </c>
      <c r="O341" s="1516" t="str">
        <f t="shared" si="46"/>
        <v/>
      </c>
      <c r="P341" s="1048" t="str">
        <f t="shared" si="49"/>
        <v/>
      </c>
      <c r="Q341" s="1048"/>
      <c r="X341" s="784"/>
      <c r="Y341" s="784"/>
      <c r="Z341" s="784"/>
    </row>
    <row r="342" spans="2:26" s="1023" customFormat="1" x14ac:dyDescent="0.2">
      <c r="B342" s="1133" t="s">
        <v>728</v>
      </c>
      <c r="C342" s="2930"/>
      <c r="D342" s="2928"/>
      <c r="E342" s="2928"/>
      <c r="F342" s="2929"/>
      <c r="G342" s="2023"/>
      <c r="H342" s="1134" t="str">
        <f t="shared" si="47"/>
        <v/>
      </c>
      <c r="I342" s="1135">
        <f t="shared" si="48"/>
        <v>0</v>
      </c>
      <c r="J342" s="1136">
        <f t="shared" si="50"/>
        <v>0</v>
      </c>
      <c r="K342" s="1137">
        <f t="shared" si="44"/>
        <v>0</v>
      </c>
      <c r="L342" s="649"/>
      <c r="N342" s="1515" t="str">
        <f t="shared" si="45"/>
        <v/>
      </c>
      <c r="O342" s="1516" t="str">
        <f t="shared" si="46"/>
        <v/>
      </c>
      <c r="P342" s="1048" t="str">
        <f t="shared" si="49"/>
        <v/>
      </c>
      <c r="Q342" s="1048"/>
      <c r="X342" s="784"/>
      <c r="Y342" s="784"/>
      <c r="Z342" s="784"/>
    </row>
    <row r="343" spans="2:26" s="1023" customFormat="1" x14ac:dyDescent="0.2">
      <c r="B343" s="1133" t="s">
        <v>729</v>
      </c>
      <c r="C343" s="2930"/>
      <c r="D343" s="2928"/>
      <c r="E343" s="2928"/>
      <c r="F343" s="2929"/>
      <c r="G343" s="2023"/>
      <c r="H343" s="1134" t="str">
        <f t="shared" si="47"/>
        <v/>
      </c>
      <c r="I343" s="1135">
        <f t="shared" si="48"/>
        <v>0</v>
      </c>
      <c r="J343" s="1136">
        <f t="shared" si="50"/>
        <v>0</v>
      </c>
      <c r="K343" s="1137">
        <f t="shared" si="44"/>
        <v>0</v>
      </c>
      <c r="L343" s="652"/>
      <c r="N343" s="1515" t="str">
        <f t="shared" si="45"/>
        <v/>
      </c>
      <c r="O343" s="1516" t="str">
        <f t="shared" si="46"/>
        <v/>
      </c>
      <c r="P343" s="1048" t="str">
        <f t="shared" si="49"/>
        <v/>
      </c>
      <c r="Q343" s="1048"/>
      <c r="X343" s="784"/>
      <c r="Y343" s="784"/>
      <c r="Z343" s="784"/>
    </row>
    <row r="344" spans="2:26" s="1023" customFormat="1" ht="15" x14ac:dyDescent="0.2">
      <c r="B344" s="802"/>
      <c r="C344" s="853"/>
      <c r="D344" s="1050"/>
      <c r="E344" s="1050"/>
      <c r="F344" s="1050"/>
      <c r="G344" s="1050"/>
      <c r="H344" s="1050"/>
      <c r="I344" s="885" t="s">
        <v>456</v>
      </c>
      <c r="J344" s="945">
        <f>SUM(J339:J343)</f>
        <v>0</v>
      </c>
      <c r="K344" s="946">
        <f>SUM(K339:K343)</f>
        <v>0</v>
      </c>
      <c r="L344" s="755"/>
      <c r="M344" s="649"/>
      <c r="O344" s="649"/>
      <c r="P344" s="1128">
        <f>SUM(P339:P343)</f>
        <v>0</v>
      </c>
      <c r="Q344" s="650"/>
      <c r="X344" s="784"/>
      <c r="Y344" s="784"/>
      <c r="Z344" s="784"/>
    </row>
    <row r="345" spans="2:26" s="1023" customFormat="1" ht="9.75" customHeight="1" x14ac:dyDescent="0.2">
      <c r="B345" s="1005"/>
      <c r="C345" s="1051"/>
      <c r="D345" s="1052"/>
      <c r="E345" s="1052"/>
      <c r="F345" s="1052"/>
      <c r="G345" s="1052"/>
      <c r="H345" s="1008"/>
      <c r="I345" s="1053"/>
      <c r="J345" s="1054"/>
      <c r="K345" s="1055"/>
      <c r="M345" s="652"/>
      <c r="N345" s="652"/>
      <c r="O345" s="652"/>
      <c r="P345" s="652"/>
      <c r="X345" s="784"/>
      <c r="Y345" s="784"/>
      <c r="Z345" s="784"/>
    </row>
    <row r="346" spans="2:26" s="1023" customFormat="1" ht="42.75" customHeight="1" x14ac:dyDescent="0.2">
      <c r="B346" s="1056">
        <v>7.2</v>
      </c>
      <c r="C346" s="2935" t="s">
        <v>1229</v>
      </c>
      <c r="D346" s="2935"/>
      <c r="E346" s="2935"/>
      <c r="F346" s="2935"/>
      <c r="G346" s="2935"/>
      <c r="H346" s="2935"/>
      <c r="I346" s="2935"/>
      <c r="J346" s="2935"/>
      <c r="K346" s="2936"/>
      <c r="M346" s="755"/>
      <c r="N346" s="755"/>
      <c r="O346" s="755"/>
      <c r="P346" s="755"/>
      <c r="X346" s="784"/>
      <c r="Y346" s="784"/>
      <c r="Z346" s="784"/>
    </row>
    <row r="347" spans="2:26" ht="14.25" customHeight="1" x14ac:dyDescent="0.2">
      <c r="B347" s="700"/>
      <c r="C347" s="1057"/>
      <c r="D347" s="1036"/>
      <c r="E347" s="1036"/>
      <c r="F347" s="1036"/>
      <c r="G347" s="702" t="s">
        <v>730</v>
      </c>
      <c r="H347" s="703" t="s">
        <v>731</v>
      </c>
      <c r="I347" s="1038" t="s">
        <v>638</v>
      </c>
      <c r="J347" s="705" t="s">
        <v>639</v>
      </c>
      <c r="K347" s="826" t="s">
        <v>639</v>
      </c>
      <c r="L347" s="1023"/>
      <c r="M347" s="1023"/>
      <c r="N347" s="1023"/>
      <c r="O347" s="1023"/>
      <c r="P347" s="1023"/>
      <c r="Q347" s="1023"/>
    </row>
    <row r="348" spans="2:26" s="652" customFormat="1" ht="14.25" customHeight="1" x14ac:dyDescent="0.2">
      <c r="B348" s="708"/>
      <c r="C348" s="2908" t="s">
        <v>732</v>
      </c>
      <c r="D348" s="2909"/>
      <c r="E348" s="2909"/>
      <c r="F348" s="2910"/>
      <c r="G348" s="710" t="s">
        <v>733</v>
      </c>
      <c r="H348" s="1058" t="s">
        <v>734</v>
      </c>
      <c r="I348" s="713" t="s">
        <v>644</v>
      </c>
      <c r="J348" s="713" t="s">
        <v>641</v>
      </c>
      <c r="K348" s="706" t="s">
        <v>510</v>
      </c>
      <c r="L348" s="1023"/>
      <c r="M348" s="1023"/>
      <c r="N348" s="1023"/>
      <c r="O348" s="1023"/>
      <c r="P348" s="1023"/>
      <c r="Q348" s="1023"/>
      <c r="X348" s="651"/>
      <c r="Y348" s="651"/>
      <c r="Z348" s="651"/>
    </row>
    <row r="349" spans="2:26" s="755" customFormat="1" ht="12.75" x14ac:dyDescent="0.2">
      <c r="B349" s="1059"/>
      <c r="C349" s="1060"/>
      <c r="D349" s="918"/>
      <c r="E349" s="918"/>
      <c r="F349" s="918"/>
      <c r="G349" s="1061" t="s">
        <v>735</v>
      </c>
      <c r="H349" s="1062" t="s">
        <v>736</v>
      </c>
      <c r="I349" s="1044"/>
      <c r="J349" s="1044"/>
      <c r="K349" s="1045"/>
      <c r="L349" s="1023"/>
      <c r="M349" s="1023"/>
      <c r="N349" s="1023"/>
      <c r="O349" s="1023"/>
      <c r="P349" s="1023"/>
      <c r="Q349" s="1023"/>
      <c r="X349" s="756"/>
      <c r="Y349" s="756"/>
      <c r="Z349" s="756"/>
    </row>
    <row r="350" spans="2:26" s="1023" customFormat="1" ht="12.75" x14ac:dyDescent="0.2">
      <c r="B350" s="1046" t="s">
        <v>646</v>
      </c>
      <c r="C350" s="834" t="s">
        <v>737</v>
      </c>
      <c r="D350" s="835"/>
      <c r="E350" s="835"/>
      <c r="F350" s="835"/>
      <c r="G350" s="1063"/>
      <c r="H350" s="833" t="s">
        <v>297</v>
      </c>
      <c r="I350" s="1064">
        <f t="shared" ref="I350" si="51">IF(H350="",0,IF(H350="ผ่าน",45,IF(H350="ไม่ผ่าน",22.5,45)))</f>
        <v>45</v>
      </c>
      <c r="J350" s="1047">
        <f t="shared" ref="J350:J355" si="52">IF(I350&lt;&gt;0,I350,0)</f>
        <v>45</v>
      </c>
      <c r="K350" s="1065">
        <f t="shared" ref="K350:K355" si="53">J350/15</f>
        <v>3</v>
      </c>
      <c r="X350" s="784"/>
      <c r="Y350" s="784"/>
      <c r="Z350" s="784"/>
    </row>
    <row r="351" spans="2:26" s="1023" customFormat="1" ht="12.75" x14ac:dyDescent="0.2">
      <c r="B351" s="731" t="s">
        <v>725</v>
      </c>
      <c r="C351" s="2888"/>
      <c r="D351" s="2858"/>
      <c r="E351" s="2858"/>
      <c r="F351" s="2859"/>
      <c r="G351" s="741"/>
      <c r="H351" s="1066"/>
      <c r="I351" s="973">
        <f>IF(OR(H351="",G351=""),0,IF(H351="ผ่าน",45*(G351/100),IF(H351="ไม่ผ่าน",22.5*(G351/100),45*(G351/100))))</f>
        <v>0</v>
      </c>
      <c r="J351" s="1049">
        <f>IF(I351&lt;&gt;0,I351,0)</f>
        <v>0</v>
      </c>
      <c r="K351" s="926">
        <f t="shared" si="53"/>
        <v>0</v>
      </c>
      <c r="L351" s="1013"/>
      <c r="X351" s="784"/>
      <c r="Y351" s="784"/>
      <c r="Z351" s="784"/>
    </row>
    <row r="352" spans="2:26" s="1023" customFormat="1" ht="12.75" x14ac:dyDescent="0.2">
      <c r="B352" s="740" t="s">
        <v>726</v>
      </c>
      <c r="C352" s="2857"/>
      <c r="D352" s="2858"/>
      <c r="E352" s="2858"/>
      <c r="F352" s="2859"/>
      <c r="G352" s="741"/>
      <c r="H352" s="1066"/>
      <c r="I352" s="973">
        <f>IF(OR(H352="",G352=""),0,IF(H352="ผ่าน",45*(G352/100),IF(H352="ไม่ผ่าน",22.5*(G352/100),45*(G352/100))))</f>
        <v>0</v>
      </c>
      <c r="J352" s="1049">
        <f>IF(I352&lt;&gt;0,I352,0)</f>
        <v>0</v>
      </c>
      <c r="K352" s="774">
        <f t="shared" si="53"/>
        <v>0</v>
      </c>
      <c r="L352" s="1013"/>
      <c r="X352" s="784"/>
      <c r="Y352" s="784"/>
      <c r="Z352" s="784"/>
    </row>
    <row r="353" spans="2:26" s="1023" customFormat="1" ht="12.75" x14ac:dyDescent="0.2">
      <c r="B353" s="740" t="s">
        <v>727</v>
      </c>
      <c r="C353" s="2857"/>
      <c r="D353" s="2858"/>
      <c r="E353" s="2858"/>
      <c r="F353" s="2859"/>
      <c r="G353" s="741"/>
      <c r="H353" s="1066"/>
      <c r="I353" s="973">
        <f t="shared" ref="I353:I355" si="54">IF(OR(H353="",G353=""),0,IF(H353="ผ่าน",45*(G353/100),IF(H353="ไม่ผ่าน",22.5*(G353/100),45*(G353/100))))</f>
        <v>0</v>
      </c>
      <c r="J353" s="1049">
        <f>IF(I353&lt;&gt;0,I353,0)</f>
        <v>0</v>
      </c>
      <c r="K353" s="774">
        <f t="shared" si="53"/>
        <v>0</v>
      </c>
      <c r="L353" s="1013"/>
      <c r="X353" s="784"/>
      <c r="Y353" s="784"/>
      <c r="Z353" s="784"/>
    </row>
    <row r="354" spans="2:26" s="1023" customFormat="1" x14ac:dyDescent="0.2">
      <c r="B354" s="740" t="s">
        <v>728</v>
      </c>
      <c r="C354" s="2857"/>
      <c r="D354" s="2858"/>
      <c r="E354" s="2858"/>
      <c r="F354" s="2859"/>
      <c r="G354" s="741"/>
      <c r="H354" s="1066"/>
      <c r="I354" s="973">
        <f t="shared" si="54"/>
        <v>0</v>
      </c>
      <c r="J354" s="1049">
        <f t="shared" si="52"/>
        <v>0</v>
      </c>
      <c r="K354" s="774">
        <f t="shared" si="53"/>
        <v>0</v>
      </c>
      <c r="L354" s="659"/>
      <c r="Q354" s="649"/>
      <c r="X354" s="784"/>
      <c r="Y354" s="784"/>
      <c r="Z354" s="784"/>
    </row>
    <row r="355" spans="2:26" s="1023" customFormat="1" x14ac:dyDescent="0.2">
      <c r="B355" s="740" t="s">
        <v>729</v>
      </c>
      <c r="C355" s="2857"/>
      <c r="D355" s="2858"/>
      <c r="E355" s="2858"/>
      <c r="F355" s="2859"/>
      <c r="G355" s="741"/>
      <c r="H355" s="1066"/>
      <c r="I355" s="973">
        <f t="shared" si="54"/>
        <v>0</v>
      </c>
      <c r="J355" s="1049">
        <f t="shared" si="52"/>
        <v>0</v>
      </c>
      <c r="K355" s="774">
        <f t="shared" si="53"/>
        <v>0</v>
      </c>
      <c r="L355" s="662"/>
      <c r="Q355" s="652"/>
      <c r="X355" s="784"/>
      <c r="Y355" s="784"/>
      <c r="Z355" s="784"/>
    </row>
    <row r="356" spans="2:26" s="1023" customFormat="1" ht="15" x14ac:dyDescent="0.2">
      <c r="B356" s="1067"/>
      <c r="C356" s="853"/>
      <c r="D356" s="1050"/>
      <c r="E356" s="1050"/>
      <c r="F356" s="1050"/>
      <c r="G356" s="1050"/>
      <c r="H356" s="1050"/>
      <c r="I356" s="885" t="s">
        <v>456</v>
      </c>
      <c r="J356" s="945">
        <f>SUM(J351:J355)</f>
        <v>0</v>
      </c>
      <c r="K356" s="946">
        <f>SUM(K351:K355)</f>
        <v>0</v>
      </c>
      <c r="L356" s="1027"/>
      <c r="M356" s="649"/>
      <c r="N356" s="649"/>
      <c r="O356" s="649"/>
      <c r="P356" s="649"/>
      <c r="Q356" s="755"/>
      <c r="X356" s="784"/>
      <c r="Y356" s="784"/>
      <c r="Z356" s="784"/>
    </row>
    <row r="357" spans="2:26" ht="9.75" customHeight="1" x14ac:dyDescent="0.2">
      <c r="B357" s="1005"/>
      <c r="C357" s="1051"/>
      <c r="D357" s="1052"/>
      <c r="E357" s="1052"/>
      <c r="F357" s="1052"/>
      <c r="G357" s="1052"/>
      <c r="H357" s="1008"/>
      <c r="I357" s="1068"/>
      <c r="J357" s="1069"/>
      <c r="K357" s="1070"/>
      <c r="L357" s="1013"/>
      <c r="M357" s="652"/>
      <c r="N357" s="652"/>
      <c r="O357" s="652"/>
      <c r="P357" s="652"/>
      <c r="Q357" s="1023"/>
    </row>
    <row r="358" spans="2:26" s="652" customFormat="1" ht="15" x14ac:dyDescent="0.2">
      <c r="B358" s="1028">
        <v>7.3</v>
      </c>
      <c r="C358" s="1029" t="s">
        <v>738</v>
      </c>
      <c r="D358" s="1030"/>
      <c r="E358" s="1030"/>
      <c r="F358" s="1030"/>
      <c r="G358" s="1030"/>
      <c r="H358" s="1031"/>
      <c r="I358" s="1031"/>
      <c r="J358" s="1032"/>
      <c r="K358" s="1033"/>
      <c r="L358" s="1013"/>
      <c r="M358" s="755"/>
      <c r="N358" s="755"/>
      <c r="O358" s="755"/>
      <c r="P358" s="755"/>
      <c r="Q358" s="1023"/>
      <c r="X358" s="651"/>
      <c r="Y358" s="651"/>
      <c r="Z358" s="651"/>
    </row>
    <row r="359" spans="2:26" s="755" customFormat="1" ht="12.75" x14ac:dyDescent="0.2">
      <c r="B359" s="700"/>
      <c r="C359" s="2934" t="s">
        <v>732</v>
      </c>
      <c r="D359" s="2934"/>
      <c r="E359" s="2934"/>
      <c r="F359" s="2934"/>
      <c r="G359" s="2934"/>
      <c r="H359" s="701" t="s">
        <v>739</v>
      </c>
      <c r="I359" s="1038" t="s">
        <v>638</v>
      </c>
      <c r="J359" s="705" t="s">
        <v>639</v>
      </c>
      <c r="K359" s="826" t="s">
        <v>639</v>
      </c>
      <c r="L359" s="1013"/>
      <c r="M359" s="1023"/>
      <c r="N359" s="1023"/>
      <c r="O359" s="1023"/>
      <c r="P359" s="1023"/>
      <c r="Q359" s="1023"/>
      <c r="X359" s="756"/>
      <c r="Y359" s="756"/>
      <c r="Z359" s="756"/>
    </row>
    <row r="360" spans="2:26" s="1023" customFormat="1" ht="12.75" x14ac:dyDescent="0.2">
      <c r="B360" s="1059"/>
      <c r="C360" s="1060"/>
      <c r="D360" s="918"/>
      <c r="E360" s="918"/>
      <c r="F360" s="918"/>
      <c r="G360" s="918"/>
      <c r="H360" s="1071"/>
      <c r="I360" s="720" t="s">
        <v>644</v>
      </c>
      <c r="J360" s="720" t="s">
        <v>641</v>
      </c>
      <c r="K360" s="721" t="s">
        <v>510</v>
      </c>
      <c r="L360" s="1013"/>
      <c r="X360" s="784"/>
      <c r="Y360" s="784"/>
      <c r="Z360" s="784"/>
    </row>
    <row r="361" spans="2:26" s="1023" customFormat="1" ht="12.75" x14ac:dyDescent="0.2">
      <c r="B361" s="740" t="s">
        <v>725</v>
      </c>
      <c r="C361" s="2888"/>
      <c r="D361" s="2858"/>
      <c r="E361" s="2858"/>
      <c r="F361" s="2858"/>
      <c r="G361" s="2858"/>
      <c r="H361" s="741"/>
      <c r="I361" s="841">
        <v>1</v>
      </c>
      <c r="J361" s="842">
        <f>IF(H361&gt;45,45,H361*I361)</f>
        <v>0</v>
      </c>
      <c r="K361" s="774">
        <f>J361/15</f>
        <v>0</v>
      </c>
      <c r="L361" s="1013"/>
      <c r="X361" s="784"/>
      <c r="Y361" s="784"/>
      <c r="Z361" s="784"/>
    </row>
    <row r="362" spans="2:26" s="1023" customFormat="1" ht="12.75" x14ac:dyDescent="0.2">
      <c r="B362" s="740" t="s">
        <v>726</v>
      </c>
      <c r="C362" s="2857"/>
      <c r="D362" s="2858"/>
      <c r="E362" s="2858"/>
      <c r="F362" s="2858"/>
      <c r="G362" s="2858"/>
      <c r="H362" s="741"/>
      <c r="I362" s="841">
        <v>1</v>
      </c>
      <c r="J362" s="842">
        <f>IF(H362&gt;45,45,H362*I362)</f>
        <v>0</v>
      </c>
      <c r="K362" s="774">
        <f>J362/15</f>
        <v>0</v>
      </c>
      <c r="L362" s="1013"/>
      <c r="X362" s="784"/>
      <c r="Y362" s="784"/>
      <c r="Z362" s="784"/>
    </row>
    <row r="363" spans="2:26" s="1023" customFormat="1" ht="12.75" x14ac:dyDescent="0.2">
      <c r="B363" s="740" t="s">
        <v>727</v>
      </c>
      <c r="C363" s="2857"/>
      <c r="D363" s="2858"/>
      <c r="E363" s="2858"/>
      <c r="F363" s="2858"/>
      <c r="G363" s="2858"/>
      <c r="H363" s="741"/>
      <c r="I363" s="841">
        <v>1</v>
      </c>
      <c r="J363" s="842">
        <f>IF(H363&gt;45,45,H363*I363)</f>
        <v>0</v>
      </c>
      <c r="K363" s="774">
        <f>J363/15</f>
        <v>0</v>
      </c>
      <c r="L363" s="1013"/>
      <c r="X363" s="784"/>
      <c r="Y363" s="784"/>
      <c r="Z363" s="784"/>
    </row>
    <row r="364" spans="2:26" s="1023" customFormat="1" x14ac:dyDescent="0.2">
      <c r="B364" s="740" t="s">
        <v>728</v>
      </c>
      <c r="C364" s="2857"/>
      <c r="D364" s="2858"/>
      <c r="E364" s="2858"/>
      <c r="F364" s="2858"/>
      <c r="G364" s="2858"/>
      <c r="H364" s="741"/>
      <c r="I364" s="841">
        <v>1</v>
      </c>
      <c r="J364" s="842">
        <f>IF(H364&gt;45,45,H364*I364)</f>
        <v>0</v>
      </c>
      <c r="K364" s="774">
        <f>J364/15</f>
        <v>0</v>
      </c>
      <c r="L364" s="659"/>
      <c r="Q364" s="649"/>
      <c r="X364" s="784"/>
      <c r="Y364" s="784"/>
      <c r="Z364" s="784"/>
    </row>
    <row r="365" spans="2:26" s="1023" customFormat="1" x14ac:dyDescent="0.2">
      <c r="B365" s="740" t="s">
        <v>729</v>
      </c>
      <c r="C365" s="2857"/>
      <c r="D365" s="2858"/>
      <c r="E365" s="2858"/>
      <c r="F365" s="2858"/>
      <c r="G365" s="2858"/>
      <c r="H365" s="741"/>
      <c r="I365" s="841">
        <v>1</v>
      </c>
      <c r="J365" s="842">
        <f>IF(H365&gt;45,45,H365*I365)</f>
        <v>0</v>
      </c>
      <c r="K365" s="774">
        <f>J365/15</f>
        <v>0</v>
      </c>
      <c r="L365" s="662"/>
      <c r="Q365" s="652"/>
      <c r="X365" s="784"/>
      <c r="Y365" s="784"/>
      <c r="Z365" s="784"/>
    </row>
    <row r="366" spans="2:26" s="1023" customFormat="1" ht="15" x14ac:dyDescent="0.2">
      <c r="B366" s="802"/>
      <c r="C366" s="853"/>
      <c r="D366" s="854"/>
      <c r="E366" s="854"/>
      <c r="F366" s="854"/>
      <c r="G366" s="854"/>
      <c r="H366" s="806"/>
      <c r="I366" s="885" t="s">
        <v>456</v>
      </c>
      <c r="J366" s="945">
        <f>SUM(J361:J365)</f>
        <v>0</v>
      </c>
      <c r="K366" s="946">
        <f>SUM(K361:K365)</f>
        <v>0</v>
      </c>
      <c r="L366" s="1027"/>
      <c r="M366" s="649"/>
      <c r="N366" s="649"/>
      <c r="O366" s="649"/>
      <c r="P366" s="649"/>
      <c r="Q366" s="755"/>
      <c r="X366" s="784"/>
      <c r="Y366" s="784"/>
      <c r="Z366" s="784"/>
    </row>
    <row r="367" spans="2:26" s="1023" customFormat="1" ht="9.75" customHeight="1" x14ac:dyDescent="0.2">
      <c r="B367" s="1005"/>
      <c r="C367" s="1051"/>
      <c r="D367" s="1052"/>
      <c r="E367" s="1052"/>
      <c r="F367" s="1052"/>
      <c r="G367" s="1052"/>
      <c r="H367" s="1008"/>
      <c r="I367" s="1068"/>
      <c r="J367" s="1009"/>
      <c r="K367" s="1010"/>
      <c r="L367" s="1013"/>
      <c r="M367" s="652"/>
      <c r="N367" s="652"/>
      <c r="O367" s="652"/>
      <c r="P367" s="652"/>
      <c r="X367" s="784"/>
      <c r="Y367" s="784"/>
      <c r="Z367" s="784"/>
    </row>
    <row r="368" spans="2:26" s="1023" customFormat="1" ht="15" x14ac:dyDescent="0.2">
      <c r="B368" s="1028">
        <v>7.4</v>
      </c>
      <c r="C368" s="1029" t="s">
        <v>740</v>
      </c>
      <c r="D368" s="1030"/>
      <c r="E368" s="1030"/>
      <c r="F368" s="1030"/>
      <c r="G368" s="1030"/>
      <c r="H368" s="1031"/>
      <c r="I368" s="1031"/>
      <c r="J368" s="1032"/>
      <c r="K368" s="1033"/>
      <c r="L368" s="1013"/>
      <c r="M368" s="755"/>
      <c r="N368" s="755"/>
      <c r="O368" s="755"/>
      <c r="P368" s="755"/>
      <c r="X368" s="784"/>
      <c r="Y368" s="784"/>
      <c r="Z368" s="784"/>
    </row>
    <row r="369" spans="2:26" s="1023" customFormat="1" ht="12.75" x14ac:dyDescent="0.2">
      <c r="B369" s="700"/>
      <c r="C369" s="1057"/>
      <c r="D369" s="1036"/>
      <c r="E369" s="1036"/>
      <c r="F369" s="1036"/>
      <c r="G369" s="1036"/>
      <c r="H369" s="703" t="s">
        <v>730</v>
      </c>
      <c r="I369" s="1038" t="s">
        <v>638</v>
      </c>
      <c r="J369" s="705" t="s">
        <v>639</v>
      </c>
      <c r="K369" s="826" t="s">
        <v>639</v>
      </c>
      <c r="L369" s="1013"/>
      <c r="X369" s="784"/>
      <c r="Y369" s="784"/>
      <c r="Z369" s="784"/>
    </row>
    <row r="370" spans="2:26" s="1023" customFormat="1" ht="12.75" x14ac:dyDescent="0.2">
      <c r="B370" s="708"/>
      <c r="C370" s="2908" t="s">
        <v>732</v>
      </c>
      <c r="D370" s="2909"/>
      <c r="E370" s="2909"/>
      <c r="F370" s="2909"/>
      <c r="G370" s="2910"/>
      <c r="H370" s="711" t="s">
        <v>741</v>
      </c>
      <c r="I370" s="713" t="s">
        <v>644</v>
      </c>
      <c r="J370" s="713" t="s">
        <v>641</v>
      </c>
      <c r="K370" s="706" t="s">
        <v>510</v>
      </c>
      <c r="L370" s="1013"/>
      <c r="X370" s="784"/>
      <c r="Y370" s="784"/>
      <c r="Z370" s="784"/>
    </row>
    <row r="371" spans="2:26" s="956" customFormat="1" ht="21" customHeight="1" x14ac:dyDescent="0.2">
      <c r="B371" s="1059"/>
      <c r="C371" s="1060"/>
      <c r="D371" s="918"/>
      <c r="E371" s="918"/>
      <c r="F371" s="918"/>
      <c r="G371" s="918"/>
      <c r="H371" s="718" t="s">
        <v>742</v>
      </c>
      <c r="I371" s="1044"/>
      <c r="J371" s="1044"/>
      <c r="K371" s="1045"/>
      <c r="L371" s="1013"/>
      <c r="M371" s="1023"/>
      <c r="N371" s="1023"/>
      <c r="O371" s="1023"/>
      <c r="P371" s="1023"/>
      <c r="Q371" s="1023"/>
      <c r="X371" s="957"/>
      <c r="Y371" s="957"/>
      <c r="Z371" s="957"/>
    </row>
    <row r="372" spans="2:26" s="1073" customFormat="1" x14ac:dyDescent="0.2">
      <c r="B372" s="1072" t="s">
        <v>743</v>
      </c>
      <c r="C372" s="2888"/>
      <c r="D372" s="2858"/>
      <c r="E372" s="2858"/>
      <c r="F372" s="2858"/>
      <c r="G372" s="2859"/>
      <c r="H372" s="741"/>
      <c r="I372" s="841">
        <f>IF(AND(H372&lt;&gt;"",H372&lt;&gt;"0"),45*(H372/100),45)</f>
        <v>45</v>
      </c>
      <c r="J372" s="842">
        <f>IF(C372&lt;&gt;"",I372,0)</f>
        <v>0</v>
      </c>
      <c r="K372" s="774">
        <f t="shared" ref="K372:K379" si="55">J372/15</f>
        <v>0</v>
      </c>
      <c r="L372" s="1013"/>
      <c r="M372" s="1023"/>
      <c r="N372" s="1023"/>
      <c r="O372" s="1023"/>
      <c r="P372" s="1023"/>
      <c r="Q372" s="1023"/>
      <c r="X372" s="998"/>
      <c r="Y372" s="998"/>
      <c r="Z372" s="998"/>
    </row>
    <row r="373" spans="2:26" s="730" customFormat="1" ht="12.75" x14ac:dyDescent="0.2">
      <c r="B373" s="1072" t="s">
        <v>744</v>
      </c>
      <c r="C373" s="2857"/>
      <c r="D373" s="2858"/>
      <c r="E373" s="2858"/>
      <c r="F373" s="2858"/>
      <c r="G373" s="2859"/>
      <c r="H373" s="741"/>
      <c r="I373" s="841">
        <f t="shared" ref="I373:I379" si="56">IF(AND(H373&lt;&gt;"",H373&lt;&gt;"0"),45*(H373/100),45)</f>
        <v>45</v>
      </c>
      <c r="J373" s="842">
        <f>IF(C373&lt;&gt;"",I373,0)</f>
        <v>0</v>
      </c>
      <c r="K373" s="774">
        <f t="shared" si="55"/>
        <v>0</v>
      </c>
      <c r="L373" s="1013"/>
      <c r="M373" s="1023"/>
      <c r="N373" s="1023"/>
      <c r="O373" s="1023"/>
      <c r="P373" s="1023"/>
      <c r="Q373" s="1023"/>
      <c r="X373" s="784"/>
      <c r="Y373" s="784"/>
      <c r="Z373" s="784"/>
    </row>
    <row r="374" spans="2:26" s="1074" customFormat="1" ht="12.75" x14ac:dyDescent="0.2">
      <c r="B374" s="1072" t="s">
        <v>745</v>
      </c>
      <c r="C374" s="2857"/>
      <c r="D374" s="2858"/>
      <c r="E374" s="2858"/>
      <c r="F374" s="2858"/>
      <c r="G374" s="2859"/>
      <c r="H374" s="741"/>
      <c r="I374" s="841">
        <f t="shared" si="56"/>
        <v>45</v>
      </c>
      <c r="J374" s="842">
        <f t="shared" ref="J374:J379" si="57">IF(C374&lt;&gt;"",I374,0)</f>
        <v>0</v>
      </c>
      <c r="K374" s="774">
        <f t="shared" si="55"/>
        <v>0</v>
      </c>
      <c r="L374" s="1013"/>
      <c r="M374" s="1023"/>
      <c r="N374" s="1023"/>
      <c r="O374" s="1023"/>
      <c r="P374" s="1023"/>
      <c r="Q374" s="1023"/>
      <c r="X374" s="1075"/>
      <c r="Y374" s="1075"/>
      <c r="Z374" s="1075"/>
    </row>
    <row r="375" spans="2:26" s="1023" customFormat="1" ht="12.75" x14ac:dyDescent="0.2">
      <c r="B375" s="1072" t="s">
        <v>746</v>
      </c>
      <c r="C375" s="2857"/>
      <c r="D375" s="2858"/>
      <c r="E375" s="2858"/>
      <c r="F375" s="2858"/>
      <c r="G375" s="2859"/>
      <c r="H375" s="741"/>
      <c r="I375" s="841">
        <f t="shared" si="56"/>
        <v>45</v>
      </c>
      <c r="J375" s="842">
        <f t="shared" si="57"/>
        <v>0</v>
      </c>
      <c r="K375" s="774">
        <f t="shared" si="55"/>
        <v>0</v>
      </c>
      <c r="L375" s="1013"/>
      <c r="X375" s="784"/>
      <c r="Y375" s="784"/>
      <c r="Z375" s="784"/>
    </row>
    <row r="376" spans="2:26" s="1023" customFormat="1" ht="12.75" x14ac:dyDescent="0.2">
      <c r="B376" s="1072" t="s">
        <v>747</v>
      </c>
      <c r="C376" s="2857"/>
      <c r="D376" s="2858"/>
      <c r="E376" s="2858"/>
      <c r="F376" s="2858"/>
      <c r="G376" s="2859"/>
      <c r="H376" s="741"/>
      <c r="I376" s="841">
        <f t="shared" si="56"/>
        <v>45</v>
      </c>
      <c r="J376" s="842">
        <f t="shared" si="57"/>
        <v>0</v>
      </c>
      <c r="K376" s="774">
        <f t="shared" si="55"/>
        <v>0</v>
      </c>
      <c r="L376" s="1013"/>
      <c r="X376" s="784"/>
      <c r="Y376" s="784"/>
      <c r="Z376" s="784"/>
    </row>
    <row r="377" spans="2:26" s="1023" customFormat="1" ht="12.75" x14ac:dyDescent="0.2">
      <c r="B377" s="1072" t="s">
        <v>748</v>
      </c>
      <c r="C377" s="2857"/>
      <c r="D377" s="2858"/>
      <c r="E377" s="2858"/>
      <c r="F377" s="2858"/>
      <c r="G377" s="2859"/>
      <c r="H377" s="741"/>
      <c r="I377" s="841">
        <f t="shared" si="56"/>
        <v>45</v>
      </c>
      <c r="J377" s="842">
        <f t="shared" si="57"/>
        <v>0</v>
      </c>
      <c r="K377" s="774">
        <f t="shared" si="55"/>
        <v>0</v>
      </c>
      <c r="L377" s="1013"/>
      <c r="X377" s="784"/>
      <c r="Y377" s="784"/>
      <c r="Z377" s="784"/>
    </row>
    <row r="378" spans="2:26" s="1023" customFormat="1" x14ac:dyDescent="0.2">
      <c r="B378" s="1072" t="s">
        <v>749</v>
      </c>
      <c r="C378" s="2857"/>
      <c r="D378" s="2858"/>
      <c r="E378" s="2858"/>
      <c r="F378" s="2858"/>
      <c r="G378" s="2859"/>
      <c r="H378" s="741"/>
      <c r="I378" s="841">
        <f t="shared" si="56"/>
        <v>45</v>
      </c>
      <c r="J378" s="842">
        <f t="shared" si="57"/>
        <v>0</v>
      </c>
      <c r="K378" s="774">
        <f t="shared" si="55"/>
        <v>0</v>
      </c>
      <c r="L378" s="659"/>
      <c r="Q378" s="956"/>
      <c r="X378" s="784"/>
      <c r="Y378" s="784"/>
      <c r="Z378" s="784"/>
    </row>
    <row r="379" spans="2:26" s="1023" customFormat="1" x14ac:dyDescent="0.2">
      <c r="B379" s="1072" t="s">
        <v>750</v>
      </c>
      <c r="C379" s="2857"/>
      <c r="D379" s="2858"/>
      <c r="E379" s="2858"/>
      <c r="F379" s="2858"/>
      <c r="G379" s="2859"/>
      <c r="H379" s="741"/>
      <c r="I379" s="841">
        <f t="shared" si="56"/>
        <v>45</v>
      </c>
      <c r="J379" s="842">
        <f t="shared" si="57"/>
        <v>0</v>
      </c>
      <c r="K379" s="774">
        <f t="shared" si="55"/>
        <v>0</v>
      </c>
      <c r="L379" s="662"/>
      <c r="Q379" s="1073"/>
      <c r="X379" s="784"/>
      <c r="Y379" s="784"/>
      <c r="Z379" s="784"/>
    </row>
    <row r="380" spans="2:26" s="898" customFormat="1" ht="15" x14ac:dyDescent="0.2">
      <c r="B380" s="802"/>
      <c r="C380" s="853"/>
      <c r="D380" s="854"/>
      <c r="E380" s="854"/>
      <c r="F380" s="854"/>
      <c r="G380" s="854"/>
      <c r="H380" s="806"/>
      <c r="I380" s="885" t="s">
        <v>456</v>
      </c>
      <c r="J380" s="782">
        <f>SUM(J372:J379)</f>
        <v>0</v>
      </c>
      <c r="K380" s="783">
        <f>SUM(K372:K379)</f>
        <v>0</v>
      </c>
      <c r="L380" s="730"/>
      <c r="M380" s="956"/>
      <c r="N380" s="956"/>
      <c r="O380" s="956"/>
      <c r="P380" s="956"/>
      <c r="Q380" s="730"/>
      <c r="X380" s="899"/>
      <c r="Y380" s="899"/>
      <c r="Z380" s="899"/>
    </row>
    <row r="381" spans="2:26" s="898" customFormat="1" ht="21" customHeight="1" x14ac:dyDescent="0.2">
      <c r="B381" s="857"/>
      <c r="C381" s="857"/>
      <c r="D381" s="902"/>
      <c r="E381" s="902"/>
      <c r="F381" s="902"/>
      <c r="G381" s="902"/>
      <c r="H381" s="667"/>
      <c r="I381" s="903"/>
      <c r="J381" s="904"/>
      <c r="K381" s="904"/>
      <c r="L381" s="1074"/>
      <c r="M381" s="1073"/>
      <c r="N381" s="1073"/>
      <c r="O381" s="1073"/>
      <c r="P381" s="1073"/>
      <c r="Q381" s="1074"/>
      <c r="X381" s="899"/>
      <c r="Y381" s="899"/>
      <c r="Z381" s="899"/>
    </row>
    <row r="382" spans="2:26" s="898" customFormat="1" ht="18" x14ac:dyDescent="0.25">
      <c r="B382" s="1076">
        <v>8</v>
      </c>
      <c r="C382" s="1077" t="s">
        <v>530</v>
      </c>
      <c r="D382" s="1078"/>
      <c r="E382" s="1078"/>
      <c r="F382" s="1078"/>
      <c r="G382" s="1078"/>
      <c r="H382" s="1078"/>
      <c r="I382" s="1078"/>
      <c r="J382" s="1078"/>
      <c r="K382" s="1079"/>
      <c r="L382" s="1023"/>
      <c r="M382" s="730"/>
      <c r="N382" s="730"/>
      <c r="O382" s="730"/>
      <c r="P382" s="730"/>
      <c r="Q382" s="1023"/>
      <c r="X382" s="899"/>
      <c r="Y382" s="899"/>
      <c r="Z382" s="899"/>
    </row>
    <row r="383" spans="2:26" s="898" customFormat="1" ht="12.75" x14ac:dyDescent="0.2">
      <c r="B383" s="1080"/>
      <c r="C383" s="2937" t="s">
        <v>751</v>
      </c>
      <c r="D383" s="2938"/>
      <c r="E383" s="2938"/>
      <c r="F383" s="2939"/>
      <c r="G383" s="701" t="s">
        <v>449</v>
      </c>
      <c r="H383" s="1081" t="s">
        <v>752</v>
      </c>
      <c r="I383" s="705" t="s">
        <v>638</v>
      </c>
      <c r="J383" s="705" t="s">
        <v>639</v>
      </c>
      <c r="K383" s="826" t="s">
        <v>639</v>
      </c>
      <c r="L383" s="1023"/>
      <c r="M383" s="1074"/>
      <c r="N383" s="1074"/>
      <c r="O383" s="1074"/>
      <c r="P383" s="1074"/>
      <c r="Q383" s="1023"/>
      <c r="X383" s="899"/>
      <c r="Y383" s="899"/>
      <c r="Z383" s="899"/>
    </row>
    <row r="384" spans="2:26" s="898" customFormat="1" ht="12.75" x14ac:dyDescent="0.2">
      <c r="B384" s="1082"/>
      <c r="C384" s="1083"/>
      <c r="D384" s="1084"/>
      <c r="E384" s="1084"/>
      <c r="F384" s="1084"/>
      <c r="G384" s="800" t="s">
        <v>753</v>
      </c>
      <c r="H384" s="800" t="s">
        <v>754</v>
      </c>
      <c r="I384" s="720" t="s">
        <v>644</v>
      </c>
      <c r="J384" s="720" t="s">
        <v>641</v>
      </c>
      <c r="K384" s="721" t="s">
        <v>510</v>
      </c>
      <c r="L384" s="1023"/>
      <c r="M384" s="1023"/>
      <c r="N384" s="1023"/>
      <c r="O384" s="1023"/>
      <c r="P384" s="1023"/>
      <c r="Q384" s="1023"/>
      <c r="X384" s="899"/>
      <c r="Y384" s="899"/>
      <c r="Z384" s="899"/>
    </row>
    <row r="385" spans="2:26" s="994" customFormat="1" x14ac:dyDescent="0.2">
      <c r="B385" s="1072" t="s">
        <v>743</v>
      </c>
      <c r="C385" s="2888"/>
      <c r="D385" s="2858"/>
      <c r="E385" s="2858"/>
      <c r="F385" s="2859"/>
      <c r="G385" s="741"/>
      <c r="H385" s="741"/>
      <c r="I385" s="1003">
        <v>15</v>
      </c>
      <c r="J385" s="842">
        <f>((I385*H385)/100)</f>
        <v>0</v>
      </c>
      <c r="K385" s="774">
        <f>J385/15</f>
        <v>0</v>
      </c>
      <c r="L385" s="1023"/>
      <c r="M385" s="1023"/>
      <c r="N385" s="1023"/>
      <c r="O385" s="1023"/>
      <c r="P385" s="1023"/>
      <c r="Q385" s="1023"/>
      <c r="X385" s="957"/>
      <c r="Y385" s="957"/>
      <c r="Z385" s="957"/>
    </row>
    <row r="386" spans="2:26" s="676" customFormat="1" x14ac:dyDescent="0.2">
      <c r="B386" s="1072" t="s">
        <v>744</v>
      </c>
      <c r="C386" s="2857"/>
      <c r="D386" s="2858"/>
      <c r="E386" s="2858"/>
      <c r="F386" s="2859"/>
      <c r="G386" s="741"/>
      <c r="H386" s="741"/>
      <c r="I386" s="1003">
        <v>15</v>
      </c>
      <c r="J386" s="842">
        <f>((I386*H386)/100)</f>
        <v>0</v>
      </c>
      <c r="K386" s="774">
        <f>J386/15</f>
        <v>0</v>
      </c>
      <c r="L386" s="1023"/>
      <c r="M386" s="1023"/>
      <c r="N386" s="1023"/>
      <c r="O386" s="1023"/>
      <c r="P386" s="1023"/>
      <c r="Q386" s="1023"/>
      <c r="X386" s="684"/>
      <c r="Y386" s="684"/>
      <c r="Z386" s="684"/>
    </row>
    <row r="387" spans="2:26" x14ac:dyDescent="0.2">
      <c r="B387" s="1072" t="s">
        <v>745</v>
      </c>
      <c r="C387" s="2857"/>
      <c r="D387" s="2858"/>
      <c r="E387" s="2858"/>
      <c r="F387" s="2859"/>
      <c r="G387" s="741"/>
      <c r="H387" s="741"/>
      <c r="I387" s="1003">
        <v>15</v>
      </c>
      <c r="J387" s="842">
        <f>((I387*H387)/100)</f>
        <v>0</v>
      </c>
      <c r="K387" s="774">
        <f>J387/15</f>
        <v>0</v>
      </c>
      <c r="L387" s="898"/>
      <c r="M387" s="1023"/>
      <c r="N387" s="1023"/>
      <c r="O387" s="1023"/>
      <c r="P387" s="1023"/>
      <c r="Q387" s="898"/>
    </row>
    <row r="388" spans="2:26" s="900" customFormat="1" ht="12.75" x14ac:dyDescent="0.2">
      <c r="B388" s="1072" t="s">
        <v>746</v>
      </c>
      <c r="C388" s="2857"/>
      <c r="D388" s="2858"/>
      <c r="E388" s="2858"/>
      <c r="F388" s="2859"/>
      <c r="G388" s="741"/>
      <c r="H388" s="741"/>
      <c r="I388" s="1003">
        <v>15</v>
      </c>
      <c r="J388" s="842">
        <f>((I388*H388)/100)</f>
        <v>0</v>
      </c>
      <c r="K388" s="774">
        <f>J388/15</f>
        <v>0</v>
      </c>
      <c r="L388" s="898"/>
      <c r="M388" s="1023"/>
      <c r="N388" s="1023"/>
      <c r="O388" s="1023"/>
      <c r="P388" s="1023"/>
      <c r="Q388" s="898"/>
      <c r="X388" s="899"/>
      <c r="Y388" s="899"/>
      <c r="Z388" s="899"/>
    </row>
    <row r="389" spans="2:26" s="898" customFormat="1" ht="12.75" x14ac:dyDescent="0.2">
      <c r="B389" s="1072" t="s">
        <v>747</v>
      </c>
      <c r="C389" s="2857"/>
      <c r="D389" s="2858"/>
      <c r="E389" s="2858"/>
      <c r="F389" s="2859"/>
      <c r="G389" s="741"/>
      <c r="H389" s="741"/>
      <c r="I389" s="1003">
        <v>15</v>
      </c>
      <c r="J389" s="842">
        <f>((I389*H389)/100)</f>
        <v>0</v>
      </c>
      <c r="K389" s="774">
        <f>J389/15</f>
        <v>0</v>
      </c>
      <c r="X389" s="899"/>
      <c r="Y389" s="899"/>
      <c r="Z389" s="899"/>
    </row>
    <row r="390" spans="2:26" s="994" customFormat="1" ht="15" x14ac:dyDescent="0.2">
      <c r="B390" s="802"/>
      <c r="C390" s="853"/>
      <c r="D390" s="995"/>
      <c r="E390" s="995"/>
      <c r="F390" s="995"/>
      <c r="G390" s="806"/>
      <c r="H390" s="806"/>
      <c r="I390" s="885" t="s">
        <v>456</v>
      </c>
      <c r="J390" s="945">
        <f>SUM(J385:J389)</f>
        <v>0</v>
      </c>
      <c r="K390" s="946">
        <f>SUM(K385:K389)</f>
        <v>0</v>
      </c>
      <c r="L390" s="898"/>
      <c r="M390" s="898"/>
      <c r="N390" s="898"/>
      <c r="O390" s="898"/>
      <c r="P390" s="898"/>
      <c r="Q390" s="898"/>
      <c r="X390" s="957"/>
      <c r="Y390" s="957"/>
      <c r="Z390" s="957"/>
    </row>
    <row r="391" spans="2:26" s="997" customFormat="1" x14ac:dyDescent="0.2">
      <c r="B391" s="1085" t="s">
        <v>755</v>
      </c>
      <c r="C391" s="1013"/>
      <c r="D391" s="1086"/>
      <c r="E391" s="1087"/>
      <c r="F391" s="1088"/>
      <c r="G391" s="1088"/>
      <c r="H391" s="1088"/>
      <c r="I391" s="1088"/>
      <c r="J391" s="1089"/>
      <c r="K391" s="1089"/>
      <c r="L391" s="898"/>
      <c r="M391" s="898"/>
      <c r="N391" s="898"/>
      <c r="O391" s="898"/>
      <c r="P391" s="898"/>
      <c r="Q391" s="898"/>
      <c r="X391" s="998"/>
      <c r="Y391" s="998"/>
      <c r="Z391" s="998"/>
    </row>
    <row r="392" spans="2:26" s="755" customFormat="1" x14ac:dyDescent="0.2">
      <c r="B392" s="1085"/>
      <c r="C392" s="1090" t="s">
        <v>756</v>
      </c>
      <c r="D392" s="1086"/>
      <c r="E392" s="1087"/>
      <c r="F392" s="1088"/>
      <c r="G392" s="1088"/>
      <c r="H392" s="1088"/>
      <c r="I392" s="1088"/>
      <c r="J392" s="1089"/>
      <c r="K392" s="1089"/>
      <c r="L392" s="982"/>
      <c r="M392" s="898"/>
      <c r="N392" s="898"/>
      <c r="O392" s="898"/>
      <c r="P392" s="898"/>
      <c r="Q392" s="994"/>
      <c r="X392" s="756"/>
      <c r="Y392" s="756"/>
      <c r="Z392" s="756"/>
    </row>
    <row r="393" spans="2:26" s="1074" customFormat="1" ht="9" customHeight="1" x14ac:dyDescent="0.2">
      <c r="B393" s="1013"/>
      <c r="C393" s="1090" t="s">
        <v>757</v>
      </c>
      <c r="D393" s="1086"/>
      <c r="E393" s="1087"/>
      <c r="F393" s="1088"/>
      <c r="G393" s="1088"/>
      <c r="H393" s="1088"/>
      <c r="I393" s="1088"/>
      <c r="J393" s="1089"/>
      <c r="K393" s="1089"/>
      <c r="L393" s="694"/>
      <c r="M393" s="898"/>
      <c r="N393" s="898"/>
      <c r="O393" s="898"/>
      <c r="P393" s="898"/>
      <c r="Q393" s="676"/>
      <c r="X393" s="1075"/>
      <c r="Y393" s="1075"/>
      <c r="Z393" s="1075"/>
    </row>
    <row r="394" spans="2:26" s="1023" customFormat="1" ht="18" customHeight="1" x14ac:dyDescent="0.25">
      <c r="B394" s="677">
        <v>9</v>
      </c>
      <c r="C394" s="678" t="s">
        <v>532</v>
      </c>
      <c r="D394" s="1091"/>
      <c r="E394" s="1091"/>
      <c r="F394" s="1091"/>
      <c r="G394" s="1091"/>
      <c r="H394" s="960"/>
      <c r="I394" s="960"/>
      <c r="J394" s="960"/>
      <c r="K394" s="961"/>
      <c r="L394" s="659"/>
      <c r="M394" s="994"/>
      <c r="N394" s="994"/>
      <c r="O394" s="994"/>
      <c r="P394" s="994"/>
      <c r="Q394" s="649"/>
      <c r="X394" s="784"/>
      <c r="Y394" s="784"/>
      <c r="Z394" s="784"/>
    </row>
    <row r="395" spans="2:26" s="1023" customFormat="1" ht="15" x14ac:dyDescent="0.2">
      <c r="B395" s="685">
        <v>9.1</v>
      </c>
      <c r="C395" s="686" t="s">
        <v>758</v>
      </c>
      <c r="D395" s="1092"/>
      <c r="E395" s="1092"/>
      <c r="F395" s="1092"/>
      <c r="G395" s="1092"/>
      <c r="H395" s="688"/>
      <c r="I395" s="688"/>
      <c r="J395" s="687"/>
      <c r="K395" s="1012"/>
      <c r="L395" s="1021"/>
      <c r="M395" s="676"/>
      <c r="N395" s="676"/>
      <c r="O395" s="676"/>
      <c r="P395" s="676"/>
      <c r="Q395" s="900"/>
      <c r="X395" s="784"/>
      <c r="Y395" s="784"/>
      <c r="Z395" s="784"/>
    </row>
    <row r="396" spans="2:26" s="1023" customFormat="1" ht="12" customHeight="1" x14ac:dyDescent="0.2">
      <c r="B396" s="914"/>
      <c r="C396" s="915"/>
      <c r="D396" s="915"/>
      <c r="E396" s="848"/>
      <c r="F396" s="848"/>
      <c r="G396" s="1093"/>
      <c r="H396" s="1094" t="s">
        <v>759</v>
      </c>
      <c r="I396" s="1095" t="s">
        <v>638</v>
      </c>
      <c r="J396" s="1095" t="s">
        <v>639</v>
      </c>
      <c r="K396" s="965" t="s">
        <v>639</v>
      </c>
      <c r="L396" s="1013"/>
      <c r="M396" s="649"/>
      <c r="N396" s="649"/>
      <c r="O396" s="649"/>
      <c r="P396" s="649"/>
      <c r="Q396" s="898"/>
      <c r="X396" s="784"/>
      <c r="Y396" s="784"/>
      <c r="Z396" s="784"/>
    </row>
    <row r="397" spans="2:26" s="1023" customFormat="1" ht="12" customHeight="1" x14ac:dyDescent="0.2">
      <c r="B397" s="1096"/>
      <c r="C397" s="1097"/>
      <c r="D397" s="848"/>
      <c r="E397" s="848"/>
      <c r="F397" s="848"/>
      <c r="G397" s="1098"/>
      <c r="H397" s="1094" t="s">
        <v>760</v>
      </c>
      <c r="I397" s="1095" t="s">
        <v>644</v>
      </c>
      <c r="J397" s="1095" t="s">
        <v>641</v>
      </c>
      <c r="K397" s="1095" t="s">
        <v>510</v>
      </c>
      <c r="L397" s="982"/>
      <c r="M397" s="900"/>
      <c r="N397" s="900"/>
      <c r="O397" s="900"/>
      <c r="P397" s="900"/>
      <c r="Q397" s="994"/>
      <c r="X397" s="784"/>
      <c r="Y397" s="784"/>
      <c r="Z397" s="784"/>
    </row>
    <row r="398" spans="2:26" s="1023" customFormat="1" ht="20.25" customHeight="1" x14ac:dyDescent="0.2">
      <c r="B398" s="1099"/>
      <c r="C398" s="2940" t="s">
        <v>761</v>
      </c>
      <c r="D398" s="2940"/>
      <c r="E398" s="2940"/>
      <c r="F398" s="2940"/>
      <c r="G398" s="2941"/>
      <c r="H398" s="1100"/>
      <c r="I398" s="1101">
        <v>0.5</v>
      </c>
      <c r="J398" s="1102">
        <f>I398*H398</f>
        <v>0</v>
      </c>
      <c r="K398" s="1102">
        <f>J398/15</f>
        <v>0</v>
      </c>
      <c r="L398" s="1019"/>
      <c r="M398" s="898"/>
      <c r="N398" s="898"/>
      <c r="O398" s="898"/>
      <c r="P398" s="898"/>
      <c r="Q398" s="997"/>
      <c r="X398" s="784"/>
      <c r="Y398" s="784"/>
      <c r="Z398" s="784"/>
    </row>
    <row r="399" spans="2:26" s="1023" customFormat="1" ht="12" customHeight="1" x14ac:dyDescent="0.2">
      <c r="B399" s="1103"/>
      <c r="C399" s="1104"/>
      <c r="D399" s="1105"/>
      <c r="E399" s="1105"/>
      <c r="F399" s="1105"/>
      <c r="G399" s="1105"/>
      <c r="H399" s="1106"/>
      <c r="I399" s="1106"/>
      <c r="J399" s="1107">
        <f>J398</f>
        <v>0</v>
      </c>
      <c r="K399" s="1107">
        <f>K398</f>
        <v>0</v>
      </c>
      <c r="L399" s="1027"/>
      <c r="M399" s="994"/>
      <c r="N399" s="994"/>
      <c r="O399" s="994"/>
      <c r="P399" s="994"/>
      <c r="Q399" s="755"/>
      <c r="X399" s="784"/>
      <c r="Y399" s="784"/>
      <c r="Z399" s="784"/>
    </row>
    <row r="400" spans="2:26" s="1023" customFormat="1" ht="7.5" customHeight="1" x14ac:dyDescent="0.2">
      <c r="B400" s="1005"/>
      <c r="C400" s="1006"/>
      <c r="D400" s="1007"/>
      <c r="E400" s="1007"/>
      <c r="F400" s="1007"/>
      <c r="G400" s="1007"/>
      <c r="H400" s="1008"/>
      <c r="I400" s="1008"/>
      <c r="J400" s="1009"/>
      <c r="K400" s="1010"/>
      <c r="L400" s="1108"/>
      <c r="M400" s="997"/>
      <c r="N400" s="997"/>
      <c r="O400" s="997"/>
      <c r="P400" s="997"/>
      <c r="Q400" s="1074"/>
      <c r="X400" s="784"/>
      <c r="Y400" s="784"/>
      <c r="Z400" s="784"/>
    </row>
    <row r="401" spans="2:26" s="730" customFormat="1" ht="30.75" customHeight="1" x14ac:dyDescent="0.2">
      <c r="B401" s="1056">
        <v>9.1999999999999993</v>
      </c>
      <c r="C401" s="2946" t="s">
        <v>762</v>
      </c>
      <c r="D401" s="2946"/>
      <c r="E401" s="2946"/>
      <c r="F401" s="2946"/>
      <c r="G401" s="2946"/>
      <c r="H401" s="2946"/>
      <c r="I401" s="2946"/>
      <c r="J401" s="2946"/>
      <c r="K401" s="2947"/>
      <c r="L401" s="1013"/>
      <c r="M401" s="755"/>
      <c r="N401" s="755"/>
      <c r="O401" s="755"/>
      <c r="P401" s="755"/>
      <c r="Q401" s="1023"/>
      <c r="X401" s="784"/>
      <c r="Y401" s="784"/>
      <c r="Z401" s="784"/>
    </row>
    <row r="402" spans="2:26" s="1074" customFormat="1" ht="12" customHeight="1" x14ac:dyDescent="0.2">
      <c r="B402" s="1080"/>
      <c r="C402" s="2944" t="s">
        <v>687</v>
      </c>
      <c r="D402" s="2944"/>
      <c r="E402" s="2944"/>
      <c r="F402" s="2944"/>
      <c r="G402" s="2944"/>
      <c r="H402" s="701" t="s">
        <v>449</v>
      </c>
      <c r="I402" s="705" t="s">
        <v>638</v>
      </c>
      <c r="J402" s="705" t="s">
        <v>639</v>
      </c>
      <c r="K402" s="1109" t="s">
        <v>759</v>
      </c>
      <c r="L402" s="1013"/>
      <c r="Q402" s="1023"/>
      <c r="X402" s="1075"/>
      <c r="Y402" s="1075"/>
      <c r="Z402" s="1075"/>
    </row>
    <row r="403" spans="2:26" s="1023" customFormat="1" ht="12" customHeight="1" x14ac:dyDescent="0.2">
      <c r="B403" s="1082"/>
      <c r="C403" s="2945"/>
      <c r="D403" s="2945"/>
      <c r="E403" s="2945"/>
      <c r="F403" s="2945"/>
      <c r="G403" s="2945"/>
      <c r="H403" s="800" t="s">
        <v>763</v>
      </c>
      <c r="I403" s="720" t="s">
        <v>644</v>
      </c>
      <c r="J403" s="720" t="s">
        <v>641</v>
      </c>
      <c r="K403" s="721" t="s">
        <v>764</v>
      </c>
      <c r="L403" s="1013"/>
      <c r="X403" s="784"/>
      <c r="Y403" s="784"/>
      <c r="Z403" s="784"/>
    </row>
    <row r="404" spans="2:26" s="1023" customFormat="1" ht="12" customHeight="1" x14ac:dyDescent="0.2">
      <c r="B404" s="1110"/>
      <c r="C404" s="1111" t="s">
        <v>765</v>
      </c>
      <c r="D404" s="1112"/>
      <c r="E404" s="1112"/>
      <c r="F404" s="1112"/>
      <c r="G404" s="1112"/>
      <c r="H404" s="1113"/>
      <c r="I404" s="1114"/>
      <c r="J404" s="1114"/>
      <c r="K404" s="1115"/>
      <c r="L404" s="1013"/>
      <c r="X404" s="784"/>
      <c r="Y404" s="784"/>
      <c r="Z404" s="784"/>
    </row>
    <row r="405" spans="2:26" s="1023" customFormat="1" ht="12" customHeight="1" x14ac:dyDescent="0.2">
      <c r="B405" s="740" t="s">
        <v>743</v>
      </c>
      <c r="C405" s="2888" t="s">
        <v>1284</v>
      </c>
      <c r="D405" s="2858"/>
      <c r="E405" s="2858"/>
      <c r="F405" s="2858"/>
      <c r="G405" s="2858"/>
      <c r="H405" s="741">
        <v>3</v>
      </c>
      <c r="I405" s="1003">
        <v>50</v>
      </c>
      <c r="J405" s="842">
        <f>IF(OR(H405="",H405=0),0,I405/H405)</f>
        <v>16.666666666666668</v>
      </c>
      <c r="K405" s="774">
        <f>J405/15</f>
        <v>1.1111111111111112</v>
      </c>
      <c r="L405" s="1013"/>
      <c r="X405" s="784"/>
      <c r="Y405" s="784"/>
      <c r="Z405" s="784"/>
    </row>
    <row r="406" spans="2:26" s="1023" customFormat="1" ht="12" customHeight="1" x14ac:dyDescent="0.2">
      <c r="B406" s="740" t="s">
        <v>744</v>
      </c>
      <c r="C406" s="2888" t="s">
        <v>1285</v>
      </c>
      <c r="D406" s="2858"/>
      <c r="E406" s="2858"/>
      <c r="F406" s="2858"/>
      <c r="G406" s="2858"/>
      <c r="H406" s="741">
        <v>3</v>
      </c>
      <c r="I406" s="1003">
        <v>50</v>
      </c>
      <c r="J406" s="842">
        <f>IF(OR(H406="",H406=0),0,I406/H406)</f>
        <v>16.666666666666668</v>
      </c>
      <c r="K406" s="774">
        <f>J406/15</f>
        <v>1.1111111111111112</v>
      </c>
      <c r="L406" s="1013"/>
      <c r="X406" s="784"/>
      <c r="Y406" s="784"/>
      <c r="Z406" s="784"/>
    </row>
    <row r="407" spans="2:26" s="1023" customFormat="1" ht="12" customHeight="1" x14ac:dyDescent="0.2">
      <c r="B407" s="740" t="s">
        <v>745</v>
      </c>
      <c r="C407" s="2857"/>
      <c r="D407" s="2858"/>
      <c r="E407" s="2858"/>
      <c r="F407" s="2858"/>
      <c r="G407" s="2858"/>
      <c r="H407" s="741"/>
      <c r="I407" s="1003">
        <v>50</v>
      </c>
      <c r="J407" s="842">
        <f>IF(OR(H407="",H407=0),0,I407/H407)</f>
        <v>0</v>
      </c>
      <c r="K407" s="774">
        <f>J407/15</f>
        <v>0</v>
      </c>
      <c r="L407" s="1013"/>
      <c r="X407" s="784"/>
      <c r="Y407" s="784"/>
      <c r="Z407" s="784"/>
    </row>
    <row r="408" spans="2:26" s="1023" customFormat="1" ht="12" customHeight="1" x14ac:dyDescent="0.2">
      <c r="B408" s="740" t="s">
        <v>746</v>
      </c>
      <c r="C408" s="2857"/>
      <c r="D408" s="2858"/>
      <c r="E408" s="2858"/>
      <c r="F408" s="2858"/>
      <c r="G408" s="2858"/>
      <c r="H408" s="741"/>
      <c r="I408" s="1003">
        <v>50</v>
      </c>
      <c r="J408" s="842">
        <f>IF(OR(H408="",H408=0),0,I408/H408)</f>
        <v>0</v>
      </c>
      <c r="K408" s="774">
        <f>J408/15</f>
        <v>0</v>
      </c>
      <c r="L408" s="1021"/>
      <c r="Q408" s="730"/>
      <c r="X408" s="784"/>
      <c r="Y408" s="784"/>
      <c r="Z408" s="784"/>
    </row>
    <row r="409" spans="2:26" s="1023" customFormat="1" ht="12.75" x14ac:dyDescent="0.2">
      <c r="B409" s="740" t="s">
        <v>747</v>
      </c>
      <c r="C409" s="2857"/>
      <c r="D409" s="2858"/>
      <c r="E409" s="2858"/>
      <c r="F409" s="2858"/>
      <c r="G409" s="2858"/>
      <c r="H409" s="741"/>
      <c r="I409" s="1003">
        <v>50</v>
      </c>
      <c r="J409" s="842">
        <f>IF(OR(H409="",H409=0),0,I409/H409)</f>
        <v>0</v>
      </c>
      <c r="K409" s="774">
        <f>J409/15</f>
        <v>0</v>
      </c>
      <c r="L409" s="1108"/>
      <c r="Q409" s="1074"/>
      <c r="X409" s="784"/>
      <c r="Y409" s="784"/>
      <c r="Z409" s="784"/>
    </row>
    <row r="410" spans="2:26" s="730" customFormat="1" ht="12.75" x14ac:dyDescent="0.2">
      <c r="B410" s="1116"/>
      <c r="C410" s="1117"/>
      <c r="D410" s="1118"/>
      <c r="E410" s="1118"/>
      <c r="F410" s="1118"/>
      <c r="G410" s="1118"/>
      <c r="H410" s="1118"/>
      <c r="I410" s="1119" t="s">
        <v>456</v>
      </c>
      <c r="J410" s="1120">
        <f>SUM(J405:J409)</f>
        <v>33.333333333333336</v>
      </c>
      <c r="K410" s="1121">
        <f>SUM(K405:K409)</f>
        <v>2.2222222222222223</v>
      </c>
      <c r="L410" s="1013"/>
      <c r="Q410" s="1023"/>
      <c r="X410" s="784"/>
      <c r="Y410" s="784"/>
      <c r="Z410" s="784"/>
    </row>
    <row r="411" spans="2:26" s="818" customFormat="1" ht="12.75" x14ac:dyDescent="0.2">
      <c r="B411" s="1080"/>
      <c r="C411" s="2944" t="s">
        <v>687</v>
      </c>
      <c r="D411" s="2944"/>
      <c r="E411" s="2944"/>
      <c r="F411" s="2944"/>
      <c r="G411" s="2944"/>
      <c r="H411" s="701" t="s">
        <v>766</v>
      </c>
      <c r="I411" s="705" t="s">
        <v>638</v>
      </c>
      <c r="J411" s="705" t="s">
        <v>639</v>
      </c>
      <c r="K411" s="1109" t="s">
        <v>759</v>
      </c>
      <c r="L411" s="1013"/>
      <c r="M411" s="1074"/>
      <c r="N411" s="1074"/>
      <c r="O411" s="1074"/>
      <c r="P411" s="1074"/>
      <c r="Q411" s="1023"/>
      <c r="X411" s="819"/>
      <c r="Y411" s="819"/>
      <c r="Z411" s="819"/>
    </row>
    <row r="412" spans="2:26" x14ac:dyDescent="0.2">
      <c r="B412" s="1082"/>
      <c r="C412" s="2945"/>
      <c r="D412" s="2945"/>
      <c r="E412" s="2945"/>
      <c r="F412" s="2945"/>
      <c r="G412" s="2945"/>
      <c r="H412" s="800"/>
      <c r="I412" s="720" t="s">
        <v>644</v>
      </c>
      <c r="J412" s="720" t="s">
        <v>641</v>
      </c>
      <c r="K412" s="721" t="s">
        <v>764</v>
      </c>
      <c r="L412" s="1013"/>
      <c r="M412" s="1023"/>
      <c r="N412" s="1023"/>
      <c r="O412" s="1023"/>
      <c r="P412" s="1023"/>
      <c r="Q412" s="1023"/>
    </row>
    <row r="413" spans="2:26" x14ac:dyDescent="0.2">
      <c r="B413" s="1122"/>
      <c r="C413" s="1111" t="s">
        <v>767</v>
      </c>
      <c r="D413" s="1112"/>
      <c r="E413" s="1112"/>
      <c r="F413" s="1112"/>
      <c r="G413" s="1112"/>
      <c r="H413" s="1123"/>
      <c r="I413" s="1114"/>
      <c r="J413" s="1114"/>
      <c r="K413" s="1115"/>
      <c r="L413" s="1013"/>
      <c r="M413" s="1023"/>
      <c r="N413" s="1023"/>
      <c r="O413" s="1023"/>
      <c r="P413" s="1023"/>
      <c r="Q413" s="1023"/>
    </row>
    <row r="414" spans="2:26" x14ac:dyDescent="0.2">
      <c r="B414" s="740" t="s">
        <v>743</v>
      </c>
      <c r="C414" s="668" t="s">
        <v>1284</v>
      </c>
      <c r="D414" s="668"/>
      <c r="E414" s="2125"/>
      <c r="F414" s="668"/>
      <c r="G414" s="2125"/>
      <c r="H414" s="741">
        <v>1</v>
      </c>
      <c r="I414" s="1003">
        <v>8</v>
      </c>
      <c r="J414" s="842">
        <f>I414*H414</f>
        <v>8</v>
      </c>
      <c r="K414" s="774">
        <f>J414/15</f>
        <v>0.53333333333333333</v>
      </c>
      <c r="L414" s="1013"/>
      <c r="M414" s="1023"/>
      <c r="N414" s="1023"/>
      <c r="O414" s="1023"/>
      <c r="P414" s="1023"/>
      <c r="Q414" s="1023"/>
    </row>
    <row r="415" spans="2:26" x14ac:dyDescent="0.2">
      <c r="B415" s="740" t="s">
        <v>744</v>
      </c>
      <c r="C415" s="2888" t="s">
        <v>1285</v>
      </c>
      <c r="D415" s="2858"/>
      <c r="E415" s="2858"/>
      <c r="F415" s="2858"/>
      <c r="G415" s="2858"/>
      <c r="H415" s="741">
        <v>16</v>
      </c>
      <c r="I415" s="1003">
        <v>8</v>
      </c>
      <c r="J415" s="842">
        <f>I415*H415</f>
        <v>128</v>
      </c>
      <c r="K415" s="774">
        <f>J415/15</f>
        <v>8.5333333333333332</v>
      </c>
      <c r="L415" s="1013"/>
      <c r="M415" s="1023"/>
      <c r="N415" s="1023"/>
      <c r="O415" s="1023"/>
      <c r="P415" s="1023"/>
      <c r="Q415" s="1023"/>
    </row>
    <row r="416" spans="2:26" x14ac:dyDescent="0.2">
      <c r="B416" s="740" t="s">
        <v>745</v>
      </c>
      <c r="C416" s="2857"/>
      <c r="D416" s="2858"/>
      <c r="E416" s="2858"/>
      <c r="F416" s="2858"/>
      <c r="G416" s="2858"/>
      <c r="H416" s="741"/>
      <c r="I416" s="1003">
        <v>8</v>
      </c>
      <c r="J416" s="842">
        <f>I416*H416</f>
        <v>0</v>
      </c>
      <c r="K416" s="774">
        <f>J416/15</f>
        <v>0</v>
      </c>
      <c r="L416" s="1013"/>
      <c r="M416" s="1023"/>
      <c r="N416" s="1023"/>
      <c r="O416" s="1023"/>
      <c r="P416" s="1023"/>
      <c r="Q416" s="1023"/>
    </row>
    <row r="417" spans="2:17" x14ac:dyDescent="0.2">
      <c r="B417" s="740" t="s">
        <v>746</v>
      </c>
      <c r="C417" s="2857"/>
      <c r="D417" s="2858"/>
      <c r="E417" s="2858"/>
      <c r="F417" s="2858"/>
      <c r="G417" s="2858"/>
      <c r="H417" s="741"/>
      <c r="I417" s="1003">
        <v>8</v>
      </c>
      <c r="J417" s="842">
        <f>I417*H417</f>
        <v>0</v>
      </c>
      <c r="K417" s="774">
        <f>J417/15</f>
        <v>0</v>
      </c>
      <c r="L417" s="1021"/>
      <c r="M417" s="1023"/>
      <c r="N417" s="1023"/>
      <c r="O417" s="1023"/>
      <c r="P417" s="1023"/>
      <c r="Q417" s="730"/>
    </row>
    <row r="418" spans="2:17" x14ac:dyDescent="0.2">
      <c r="B418" s="740" t="s">
        <v>747</v>
      </c>
      <c r="C418" s="2857"/>
      <c r="D418" s="2858"/>
      <c r="E418" s="2858"/>
      <c r="F418" s="2858"/>
      <c r="G418" s="2858"/>
      <c r="H418" s="741"/>
      <c r="I418" s="1003">
        <v>8</v>
      </c>
      <c r="J418" s="842">
        <f>I418*H418</f>
        <v>0</v>
      </c>
      <c r="K418" s="774">
        <f>J418/15</f>
        <v>0</v>
      </c>
      <c r="L418" s="737"/>
      <c r="M418" s="1023"/>
      <c r="N418" s="1023"/>
      <c r="O418" s="1023"/>
      <c r="P418" s="1023"/>
      <c r="Q418" s="818"/>
    </row>
    <row r="419" spans="2:17" x14ac:dyDescent="0.2">
      <c r="B419" s="1116"/>
      <c r="C419" s="1117"/>
      <c r="D419" s="1118"/>
      <c r="E419" s="1118"/>
      <c r="F419" s="1118"/>
      <c r="G419" s="1118"/>
      <c r="H419" s="1118"/>
      <c r="I419" s="1119" t="s">
        <v>456</v>
      </c>
      <c r="J419" s="1120">
        <f>SUM(J414:J418)</f>
        <v>136</v>
      </c>
      <c r="K419" s="1121">
        <f>SUM(K414:K418)</f>
        <v>9.0666666666666664</v>
      </c>
      <c r="M419" s="730"/>
      <c r="N419" s="730"/>
      <c r="O419" s="730"/>
      <c r="P419" s="730"/>
    </row>
    <row r="420" spans="2:17" ht="15" x14ac:dyDescent="0.2">
      <c r="B420" s="1124"/>
      <c r="C420" s="853"/>
      <c r="D420" s="854"/>
      <c r="E420" s="854"/>
      <c r="F420" s="854"/>
      <c r="G420" s="1125"/>
      <c r="H420" s="945"/>
      <c r="I420" s="1126" t="s">
        <v>768</v>
      </c>
      <c r="J420" s="782">
        <f>J399+J410+J419</f>
        <v>169.33333333333334</v>
      </c>
      <c r="K420" s="783">
        <f>K399+K410+K419</f>
        <v>11.288888888888888</v>
      </c>
      <c r="M420" s="818"/>
      <c r="N420" s="818"/>
      <c r="O420" s="818"/>
      <c r="P420" s="818"/>
    </row>
    <row r="421" spans="2:17" ht="15" x14ac:dyDescent="0.2">
      <c r="B421" s="737"/>
      <c r="C421" s="857"/>
      <c r="D421" s="902"/>
      <c r="E421" s="1127"/>
      <c r="F421" s="902"/>
      <c r="G421" s="863"/>
      <c r="H421" s="863"/>
      <c r="I421" s="902"/>
      <c r="J421" s="904"/>
      <c r="K421" s="904"/>
    </row>
  </sheetData>
  <sheetProtection password="DC56" sheet="1" objects="1" scenarios="1" formatCells="0" formatColumns="0" formatRows="0" insertColumns="0" insertRows="0" insertHyperlinks="0"/>
  <mergeCells count="279">
    <mergeCell ref="D131:E131"/>
    <mergeCell ref="D130:E130"/>
    <mergeCell ref="D128:E128"/>
    <mergeCell ref="D127:E127"/>
    <mergeCell ref="D126:E126"/>
    <mergeCell ref="D129:E129"/>
    <mergeCell ref="D116:E116"/>
    <mergeCell ref="D125:E125"/>
    <mergeCell ref="D124:E124"/>
    <mergeCell ref="D123:E123"/>
    <mergeCell ref="D122:E122"/>
    <mergeCell ref="D121:E121"/>
    <mergeCell ref="D120:E120"/>
    <mergeCell ref="D119:E119"/>
    <mergeCell ref="D96:F96"/>
    <mergeCell ref="D85:F85"/>
    <mergeCell ref="D106:E10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2:F72"/>
    <mergeCell ref="D67:E67"/>
    <mergeCell ref="D71:F71"/>
    <mergeCell ref="D88:F88"/>
    <mergeCell ref="D89:F89"/>
    <mergeCell ref="D90:F90"/>
    <mergeCell ref="D75:F75"/>
    <mergeCell ref="D76:F76"/>
    <mergeCell ref="D77:F77"/>
    <mergeCell ref="D78:F78"/>
    <mergeCell ref="D86:F86"/>
    <mergeCell ref="D98:F98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1:E191"/>
    <mergeCell ref="D207:F207"/>
    <mergeCell ref="D192:E192"/>
    <mergeCell ref="D208:F208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53:F153"/>
    <mergeCell ref="D149:E149"/>
    <mergeCell ref="D165:F165"/>
    <mergeCell ref="D166:F166"/>
    <mergeCell ref="D167:F167"/>
    <mergeCell ref="D168:F168"/>
    <mergeCell ref="D169:F16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54:F154"/>
    <mergeCell ref="D147:E147"/>
    <mergeCell ref="D148:E148"/>
    <mergeCell ref="D140:E140"/>
    <mergeCell ref="D141:E141"/>
    <mergeCell ref="D142:E142"/>
    <mergeCell ref="D143:E143"/>
    <mergeCell ref="D144:E144"/>
    <mergeCell ref="D145:E145"/>
    <mergeCell ref="D146:E146"/>
    <mergeCell ref="D103:F103"/>
    <mergeCell ref="D97:F97"/>
    <mergeCell ref="D107:E107"/>
    <mergeCell ref="D108:E108"/>
    <mergeCell ref="D115:E115"/>
    <mergeCell ref="D114:E114"/>
    <mergeCell ref="D113:E113"/>
    <mergeCell ref="D99:F99"/>
    <mergeCell ref="D100:F100"/>
    <mergeCell ref="D101:F101"/>
    <mergeCell ref="D102:F102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32:E32"/>
    <mergeCell ref="D24:E24"/>
    <mergeCell ref="D26:E26"/>
    <mergeCell ref="D79:F79"/>
    <mergeCell ref="D80:F80"/>
    <mergeCell ref="D81:F81"/>
    <mergeCell ref="D82:F82"/>
    <mergeCell ref="D83:F83"/>
    <mergeCell ref="D84:F84"/>
    <mergeCell ref="D118:E118"/>
    <mergeCell ref="D117:E117"/>
    <mergeCell ref="Q25:T25"/>
    <mergeCell ref="D70:F70"/>
    <mergeCell ref="D36:E36"/>
    <mergeCell ref="D35:E35"/>
    <mergeCell ref="D34:E34"/>
    <mergeCell ref="D33:E33"/>
    <mergeCell ref="D50:E50"/>
    <mergeCell ref="D49:E49"/>
    <mergeCell ref="D48:E48"/>
    <mergeCell ref="D47:E47"/>
    <mergeCell ref="D46:E46"/>
    <mergeCell ref="D92:F92"/>
    <mergeCell ref="D93:F93"/>
    <mergeCell ref="D94:F94"/>
    <mergeCell ref="D95:F95"/>
    <mergeCell ref="D87:F87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>
      <formula1>0</formula1>
    </dataValidation>
    <dataValidation type="list" allowBlank="1" showInputMessage="1" showErrorMessage="1" sqref="H350:H355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9:G343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v.4.3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57150</xdr:rowOff>
                  </from>
                  <to>
                    <xdr:col>9</xdr:col>
                    <xdr:colOff>609600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76200</xdr:rowOff>
                  </from>
                  <to>
                    <xdr:col>9</xdr:col>
                    <xdr:colOff>609600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66675</xdr:rowOff>
                  </from>
                  <to>
                    <xdr:col>9</xdr:col>
                    <xdr:colOff>609600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15</xdr:row>
                    <xdr:rowOff>57150</xdr:rowOff>
                  </from>
                  <to>
                    <xdr:col>9</xdr:col>
                    <xdr:colOff>609600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" name="Check Box 371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2" name="Check Box 372">
              <controlPr defaultSize="0" autoFill="0" autoLine="0" autoPict="0">
                <anchor moveWithCells="1">
                  <from>
                    <xdr:col>9</xdr:col>
                    <xdr:colOff>342900</xdr:colOff>
                    <xdr:row>13</xdr:row>
                    <xdr:rowOff>66675</xdr:rowOff>
                  </from>
                  <to>
                    <xdr:col>9</xdr:col>
                    <xdr:colOff>609600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3" name="Check Box 373">
              <controlPr defaultSize="0" autoFill="0" autoLine="0" autoPict="0">
                <anchor moveWithCells="1">
                  <from>
                    <xdr:col>9</xdr:col>
                    <xdr:colOff>342900</xdr:colOff>
                    <xdr:row>16</xdr:row>
                    <xdr:rowOff>57150</xdr:rowOff>
                  </from>
                  <to>
                    <xdr:col>9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9"/>
  </sheetPr>
  <dimension ref="B2:AA267"/>
  <sheetViews>
    <sheetView showGridLines="0" topLeftCell="A25" workbookViewId="0">
      <selection activeCell="I26" sqref="I26"/>
    </sheetView>
  </sheetViews>
  <sheetFormatPr defaultRowHeight="12.75" x14ac:dyDescent="0.2"/>
  <cols>
    <col min="1" max="1" width="1.125" style="1503" customWidth="1"/>
    <col min="2" max="2" width="9.75" style="1503" customWidth="1"/>
    <col min="3" max="3" width="32.375" style="1503" customWidth="1"/>
    <col min="4" max="4" width="11.25" style="1503" bestFit="1" customWidth="1"/>
    <col min="5" max="5" width="10.625" style="1503" customWidth="1"/>
    <col min="6" max="6" width="10.875" style="1503" customWidth="1"/>
    <col min="7" max="7" width="10.375" style="1503" customWidth="1"/>
    <col min="8" max="8" width="10.25" style="1503" customWidth="1"/>
    <col min="9" max="9" width="10.375" style="1503" customWidth="1"/>
    <col min="10" max="10" width="26.625" style="1503" customWidth="1"/>
    <col min="11" max="12" width="13.875" style="1503" customWidth="1"/>
    <col min="13" max="13" width="22.625" style="1503" customWidth="1"/>
    <col min="14" max="14" width="11.875" style="1503" customWidth="1"/>
    <col min="15" max="15" width="11.875" style="1503" bestFit="1" customWidth="1"/>
    <col min="16" max="16" width="6.125" style="1503" customWidth="1"/>
    <col min="17" max="17" width="7.375" style="1503" bestFit="1" customWidth="1"/>
    <col min="18" max="18" width="11.375" style="1503" customWidth="1"/>
    <col min="19" max="20" width="10.75" style="1504" hidden="1" customWidth="1"/>
    <col min="21" max="21" width="10.625" style="1504" hidden="1" customWidth="1"/>
    <col min="22" max="22" width="8" style="1505" hidden="1" customWidth="1"/>
    <col min="23" max="25" width="8" style="1504" hidden="1" customWidth="1"/>
    <col min="26" max="26" width="8" style="1504" customWidth="1"/>
    <col min="27" max="27" width="9" style="1504"/>
    <col min="28" max="256" width="9" style="1503"/>
    <col min="257" max="257" width="5.875" style="1503" customWidth="1"/>
    <col min="258" max="258" width="11.375" style="1503" customWidth="1"/>
    <col min="259" max="259" width="28.25" style="1503" customWidth="1"/>
    <col min="260" max="260" width="12.375" style="1503" customWidth="1"/>
    <col min="261" max="261" width="11.25" style="1503" customWidth="1"/>
    <col min="262" max="262" width="11.875" style="1503" customWidth="1"/>
    <col min="263" max="263" width="11.75" style="1503" customWidth="1"/>
    <col min="264" max="264" width="11.875" style="1503" customWidth="1"/>
    <col min="265" max="267" width="11.75" style="1503" customWidth="1"/>
    <col min="268" max="269" width="10.75" style="1503" customWidth="1"/>
    <col min="270" max="270" width="25.25" style="1503" bestFit="1" customWidth="1"/>
    <col min="271" max="271" width="16.375" style="1503" bestFit="1" customWidth="1"/>
    <col min="272" max="512" width="9" style="1503"/>
    <col min="513" max="513" width="5.875" style="1503" customWidth="1"/>
    <col min="514" max="514" width="11.375" style="1503" customWidth="1"/>
    <col min="515" max="515" width="28.25" style="1503" customWidth="1"/>
    <col min="516" max="516" width="12.375" style="1503" customWidth="1"/>
    <col min="517" max="517" width="11.25" style="1503" customWidth="1"/>
    <col min="518" max="518" width="11.875" style="1503" customWidth="1"/>
    <col min="519" max="519" width="11.75" style="1503" customWidth="1"/>
    <col min="520" max="520" width="11.875" style="1503" customWidth="1"/>
    <col min="521" max="523" width="11.75" style="1503" customWidth="1"/>
    <col min="524" max="525" width="10.75" style="1503" customWidth="1"/>
    <col min="526" max="526" width="25.25" style="1503" bestFit="1" customWidth="1"/>
    <col min="527" max="527" width="16.375" style="1503" bestFit="1" customWidth="1"/>
    <col min="528" max="768" width="9" style="1503"/>
    <col min="769" max="769" width="5.875" style="1503" customWidth="1"/>
    <col min="770" max="770" width="11.375" style="1503" customWidth="1"/>
    <col min="771" max="771" width="28.25" style="1503" customWidth="1"/>
    <col min="772" max="772" width="12.375" style="1503" customWidth="1"/>
    <col min="773" max="773" width="11.25" style="1503" customWidth="1"/>
    <col min="774" max="774" width="11.875" style="1503" customWidth="1"/>
    <col min="775" max="775" width="11.75" style="1503" customWidth="1"/>
    <col min="776" max="776" width="11.875" style="1503" customWidth="1"/>
    <col min="777" max="779" width="11.75" style="1503" customWidth="1"/>
    <col min="780" max="781" width="10.75" style="1503" customWidth="1"/>
    <col min="782" max="782" width="25.25" style="1503" bestFit="1" customWidth="1"/>
    <col min="783" max="783" width="16.375" style="1503" bestFit="1" customWidth="1"/>
    <col min="784" max="1024" width="9" style="1503"/>
    <col min="1025" max="1025" width="5.875" style="1503" customWidth="1"/>
    <col min="1026" max="1026" width="11.375" style="1503" customWidth="1"/>
    <col min="1027" max="1027" width="28.25" style="1503" customWidth="1"/>
    <col min="1028" max="1028" width="12.375" style="1503" customWidth="1"/>
    <col min="1029" max="1029" width="11.25" style="1503" customWidth="1"/>
    <col min="1030" max="1030" width="11.875" style="1503" customWidth="1"/>
    <col min="1031" max="1031" width="11.75" style="1503" customWidth="1"/>
    <col min="1032" max="1032" width="11.875" style="1503" customWidth="1"/>
    <col min="1033" max="1035" width="11.75" style="1503" customWidth="1"/>
    <col min="1036" max="1037" width="10.75" style="1503" customWidth="1"/>
    <col min="1038" max="1038" width="25.25" style="1503" bestFit="1" customWidth="1"/>
    <col min="1039" max="1039" width="16.375" style="1503" bestFit="1" customWidth="1"/>
    <col min="1040" max="1280" width="9" style="1503"/>
    <col min="1281" max="1281" width="5.875" style="1503" customWidth="1"/>
    <col min="1282" max="1282" width="11.375" style="1503" customWidth="1"/>
    <col min="1283" max="1283" width="28.25" style="1503" customWidth="1"/>
    <col min="1284" max="1284" width="12.375" style="1503" customWidth="1"/>
    <col min="1285" max="1285" width="11.25" style="1503" customWidth="1"/>
    <col min="1286" max="1286" width="11.875" style="1503" customWidth="1"/>
    <col min="1287" max="1287" width="11.75" style="1503" customWidth="1"/>
    <col min="1288" max="1288" width="11.875" style="1503" customWidth="1"/>
    <col min="1289" max="1291" width="11.75" style="1503" customWidth="1"/>
    <col min="1292" max="1293" width="10.75" style="1503" customWidth="1"/>
    <col min="1294" max="1294" width="25.25" style="1503" bestFit="1" customWidth="1"/>
    <col min="1295" max="1295" width="16.375" style="1503" bestFit="1" customWidth="1"/>
    <col min="1296" max="1536" width="9" style="1503"/>
    <col min="1537" max="1537" width="5.875" style="1503" customWidth="1"/>
    <col min="1538" max="1538" width="11.375" style="1503" customWidth="1"/>
    <col min="1539" max="1539" width="28.25" style="1503" customWidth="1"/>
    <col min="1540" max="1540" width="12.375" style="1503" customWidth="1"/>
    <col min="1541" max="1541" width="11.25" style="1503" customWidth="1"/>
    <col min="1542" max="1542" width="11.875" style="1503" customWidth="1"/>
    <col min="1543" max="1543" width="11.75" style="1503" customWidth="1"/>
    <col min="1544" max="1544" width="11.875" style="1503" customWidth="1"/>
    <col min="1545" max="1547" width="11.75" style="1503" customWidth="1"/>
    <col min="1548" max="1549" width="10.75" style="1503" customWidth="1"/>
    <col min="1550" max="1550" width="25.25" style="1503" bestFit="1" customWidth="1"/>
    <col min="1551" max="1551" width="16.375" style="1503" bestFit="1" customWidth="1"/>
    <col min="1552" max="1792" width="9" style="1503"/>
    <col min="1793" max="1793" width="5.875" style="1503" customWidth="1"/>
    <col min="1794" max="1794" width="11.375" style="1503" customWidth="1"/>
    <col min="1795" max="1795" width="28.25" style="1503" customWidth="1"/>
    <col min="1796" max="1796" width="12.375" style="1503" customWidth="1"/>
    <col min="1797" max="1797" width="11.25" style="1503" customWidth="1"/>
    <col min="1798" max="1798" width="11.875" style="1503" customWidth="1"/>
    <col min="1799" max="1799" width="11.75" style="1503" customWidth="1"/>
    <col min="1800" max="1800" width="11.875" style="1503" customWidth="1"/>
    <col min="1801" max="1803" width="11.75" style="1503" customWidth="1"/>
    <col min="1804" max="1805" width="10.75" style="1503" customWidth="1"/>
    <col min="1806" max="1806" width="25.25" style="1503" bestFit="1" customWidth="1"/>
    <col min="1807" max="1807" width="16.375" style="1503" bestFit="1" customWidth="1"/>
    <col min="1808" max="2048" width="9" style="1503"/>
    <col min="2049" max="2049" width="5.875" style="1503" customWidth="1"/>
    <col min="2050" max="2050" width="11.375" style="1503" customWidth="1"/>
    <col min="2051" max="2051" width="28.25" style="1503" customWidth="1"/>
    <col min="2052" max="2052" width="12.375" style="1503" customWidth="1"/>
    <col min="2053" max="2053" width="11.25" style="1503" customWidth="1"/>
    <col min="2054" max="2054" width="11.875" style="1503" customWidth="1"/>
    <col min="2055" max="2055" width="11.75" style="1503" customWidth="1"/>
    <col min="2056" max="2056" width="11.875" style="1503" customWidth="1"/>
    <col min="2057" max="2059" width="11.75" style="1503" customWidth="1"/>
    <col min="2060" max="2061" width="10.75" style="1503" customWidth="1"/>
    <col min="2062" max="2062" width="25.25" style="1503" bestFit="1" customWidth="1"/>
    <col min="2063" max="2063" width="16.375" style="1503" bestFit="1" customWidth="1"/>
    <col min="2064" max="2304" width="9" style="1503"/>
    <col min="2305" max="2305" width="5.875" style="1503" customWidth="1"/>
    <col min="2306" max="2306" width="11.375" style="1503" customWidth="1"/>
    <col min="2307" max="2307" width="28.25" style="1503" customWidth="1"/>
    <col min="2308" max="2308" width="12.375" style="1503" customWidth="1"/>
    <col min="2309" max="2309" width="11.25" style="1503" customWidth="1"/>
    <col min="2310" max="2310" width="11.875" style="1503" customWidth="1"/>
    <col min="2311" max="2311" width="11.75" style="1503" customWidth="1"/>
    <col min="2312" max="2312" width="11.875" style="1503" customWidth="1"/>
    <col min="2313" max="2315" width="11.75" style="1503" customWidth="1"/>
    <col min="2316" max="2317" width="10.75" style="1503" customWidth="1"/>
    <col min="2318" max="2318" width="25.25" style="1503" bestFit="1" customWidth="1"/>
    <col min="2319" max="2319" width="16.375" style="1503" bestFit="1" customWidth="1"/>
    <col min="2320" max="2560" width="9" style="1503"/>
    <col min="2561" max="2561" width="5.875" style="1503" customWidth="1"/>
    <col min="2562" max="2562" width="11.375" style="1503" customWidth="1"/>
    <col min="2563" max="2563" width="28.25" style="1503" customWidth="1"/>
    <col min="2564" max="2564" width="12.375" style="1503" customWidth="1"/>
    <col min="2565" max="2565" width="11.25" style="1503" customWidth="1"/>
    <col min="2566" max="2566" width="11.875" style="1503" customWidth="1"/>
    <col min="2567" max="2567" width="11.75" style="1503" customWidth="1"/>
    <col min="2568" max="2568" width="11.875" style="1503" customWidth="1"/>
    <col min="2569" max="2571" width="11.75" style="1503" customWidth="1"/>
    <col min="2572" max="2573" width="10.75" style="1503" customWidth="1"/>
    <col min="2574" max="2574" width="25.25" style="1503" bestFit="1" customWidth="1"/>
    <col min="2575" max="2575" width="16.375" style="1503" bestFit="1" customWidth="1"/>
    <col min="2576" max="2816" width="9" style="1503"/>
    <col min="2817" max="2817" width="5.875" style="1503" customWidth="1"/>
    <col min="2818" max="2818" width="11.375" style="1503" customWidth="1"/>
    <col min="2819" max="2819" width="28.25" style="1503" customWidth="1"/>
    <col min="2820" max="2820" width="12.375" style="1503" customWidth="1"/>
    <col min="2821" max="2821" width="11.25" style="1503" customWidth="1"/>
    <col min="2822" max="2822" width="11.875" style="1503" customWidth="1"/>
    <col min="2823" max="2823" width="11.75" style="1503" customWidth="1"/>
    <col min="2824" max="2824" width="11.875" style="1503" customWidth="1"/>
    <col min="2825" max="2827" width="11.75" style="1503" customWidth="1"/>
    <col min="2828" max="2829" width="10.75" style="1503" customWidth="1"/>
    <col min="2830" max="2830" width="25.25" style="1503" bestFit="1" customWidth="1"/>
    <col min="2831" max="2831" width="16.375" style="1503" bestFit="1" customWidth="1"/>
    <col min="2832" max="3072" width="9" style="1503"/>
    <col min="3073" max="3073" width="5.875" style="1503" customWidth="1"/>
    <col min="3074" max="3074" width="11.375" style="1503" customWidth="1"/>
    <col min="3075" max="3075" width="28.25" style="1503" customWidth="1"/>
    <col min="3076" max="3076" width="12.375" style="1503" customWidth="1"/>
    <col min="3077" max="3077" width="11.25" style="1503" customWidth="1"/>
    <col min="3078" max="3078" width="11.875" style="1503" customWidth="1"/>
    <col min="3079" max="3079" width="11.75" style="1503" customWidth="1"/>
    <col min="3080" max="3080" width="11.875" style="1503" customWidth="1"/>
    <col min="3081" max="3083" width="11.75" style="1503" customWidth="1"/>
    <col min="3084" max="3085" width="10.75" style="1503" customWidth="1"/>
    <col min="3086" max="3086" width="25.25" style="1503" bestFit="1" customWidth="1"/>
    <col min="3087" max="3087" width="16.375" style="1503" bestFit="1" customWidth="1"/>
    <col min="3088" max="3328" width="9" style="1503"/>
    <col min="3329" max="3329" width="5.875" style="1503" customWidth="1"/>
    <col min="3330" max="3330" width="11.375" style="1503" customWidth="1"/>
    <col min="3331" max="3331" width="28.25" style="1503" customWidth="1"/>
    <col min="3332" max="3332" width="12.375" style="1503" customWidth="1"/>
    <col min="3333" max="3333" width="11.25" style="1503" customWidth="1"/>
    <col min="3334" max="3334" width="11.875" style="1503" customWidth="1"/>
    <col min="3335" max="3335" width="11.75" style="1503" customWidth="1"/>
    <col min="3336" max="3336" width="11.875" style="1503" customWidth="1"/>
    <col min="3337" max="3339" width="11.75" style="1503" customWidth="1"/>
    <col min="3340" max="3341" width="10.75" style="1503" customWidth="1"/>
    <col min="3342" max="3342" width="25.25" style="1503" bestFit="1" customWidth="1"/>
    <col min="3343" max="3343" width="16.375" style="1503" bestFit="1" customWidth="1"/>
    <col min="3344" max="3584" width="9" style="1503"/>
    <col min="3585" max="3585" width="5.875" style="1503" customWidth="1"/>
    <col min="3586" max="3586" width="11.375" style="1503" customWidth="1"/>
    <col min="3587" max="3587" width="28.25" style="1503" customWidth="1"/>
    <col min="3588" max="3588" width="12.375" style="1503" customWidth="1"/>
    <col min="3589" max="3589" width="11.25" style="1503" customWidth="1"/>
    <col min="3590" max="3590" width="11.875" style="1503" customWidth="1"/>
    <col min="3591" max="3591" width="11.75" style="1503" customWidth="1"/>
    <col min="3592" max="3592" width="11.875" style="1503" customWidth="1"/>
    <col min="3593" max="3595" width="11.75" style="1503" customWidth="1"/>
    <col min="3596" max="3597" width="10.75" style="1503" customWidth="1"/>
    <col min="3598" max="3598" width="25.25" style="1503" bestFit="1" customWidth="1"/>
    <col min="3599" max="3599" width="16.375" style="1503" bestFit="1" customWidth="1"/>
    <col min="3600" max="3840" width="9" style="1503"/>
    <col min="3841" max="3841" width="5.875" style="1503" customWidth="1"/>
    <col min="3842" max="3842" width="11.375" style="1503" customWidth="1"/>
    <col min="3843" max="3843" width="28.25" style="1503" customWidth="1"/>
    <col min="3844" max="3844" width="12.375" style="1503" customWidth="1"/>
    <col min="3845" max="3845" width="11.25" style="1503" customWidth="1"/>
    <col min="3846" max="3846" width="11.875" style="1503" customWidth="1"/>
    <col min="3847" max="3847" width="11.75" style="1503" customWidth="1"/>
    <col min="3848" max="3848" width="11.875" style="1503" customWidth="1"/>
    <col min="3849" max="3851" width="11.75" style="1503" customWidth="1"/>
    <col min="3852" max="3853" width="10.75" style="1503" customWidth="1"/>
    <col min="3854" max="3854" width="25.25" style="1503" bestFit="1" customWidth="1"/>
    <col min="3855" max="3855" width="16.375" style="1503" bestFit="1" customWidth="1"/>
    <col min="3856" max="4096" width="9" style="1503"/>
    <col min="4097" max="4097" width="5.875" style="1503" customWidth="1"/>
    <col min="4098" max="4098" width="11.375" style="1503" customWidth="1"/>
    <col min="4099" max="4099" width="28.25" style="1503" customWidth="1"/>
    <col min="4100" max="4100" width="12.375" style="1503" customWidth="1"/>
    <col min="4101" max="4101" width="11.25" style="1503" customWidth="1"/>
    <col min="4102" max="4102" width="11.875" style="1503" customWidth="1"/>
    <col min="4103" max="4103" width="11.75" style="1503" customWidth="1"/>
    <col min="4104" max="4104" width="11.875" style="1503" customWidth="1"/>
    <col min="4105" max="4107" width="11.75" style="1503" customWidth="1"/>
    <col min="4108" max="4109" width="10.75" style="1503" customWidth="1"/>
    <col min="4110" max="4110" width="25.25" style="1503" bestFit="1" customWidth="1"/>
    <col min="4111" max="4111" width="16.375" style="1503" bestFit="1" customWidth="1"/>
    <col min="4112" max="4352" width="9" style="1503"/>
    <col min="4353" max="4353" width="5.875" style="1503" customWidth="1"/>
    <col min="4354" max="4354" width="11.375" style="1503" customWidth="1"/>
    <col min="4355" max="4355" width="28.25" style="1503" customWidth="1"/>
    <col min="4356" max="4356" width="12.375" style="1503" customWidth="1"/>
    <col min="4357" max="4357" width="11.25" style="1503" customWidth="1"/>
    <col min="4358" max="4358" width="11.875" style="1503" customWidth="1"/>
    <col min="4359" max="4359" width="11.75" style="1503" customWidth="1"/>
    <col min="4360" max="4360" width="11.875" style="1503" customWidth="1"/>
    <col min="4361" max="4363" width="11.75" style="1503" customWidth="1"/>
    <col min="4364" max="4365" width="10.75" style="1503" customWidth="1"/>
    <col min="4366" max="4366" width="25.25" style="1503" bestFit="1" customWidth="1"/>
    <col min="4367" max="4367" width="16.375" style="1503" bestFit="1" customWidth="1"/>
    <col min="4368" max="4608" width="9" style="1503"/>
    <col min="4609" max="4609" width="5.875" style="1503" customWidth="1"/>
    <col min="4610" max="4610" width="11.375" style="1503" customWidth="1"/>
    <col min="4611" max="4611" width="28.25" style="1503" customWidth="1"/>
    <col min="4612" max="4612" width="12.375" style="1503" customWidth="1"/>
    <col min="4613" max="4613" width="11.25" style="1503" customWidth="1"/>
    <col min="4614" max="4614" width="11.875" style="1503" customWidth="1"/>
    <col min="4615" max="4615" width="11.75" style="1503" customWidth="1"/>
    <col min="4616" max="4616" width="11.875" style="1503" customWidth="1"/>
    <col min="4617" max="4619" width="11.75" style="1503" customWidth="1"/>
    <col min="4620" max="4621" width="10.75" style="1503" customWidth="1"/>
    <col min="4622" max="4622" width="25.25" style="1503" bestFit="1" customWidth="1"/>
    <col min="4623" max="4623" width="16.375" style="1503" bestFit="1" customWidth="1"/>
    <col min="4624" max="4864" width="9" style="1503"/>
    <col min="4865" max="4865" width="5.875" style="1503" customWidth="1"/>
    <col min="4866" max="4866" width="11.375" style="1503" customWidth="1"/>
    <col min="4867" max="4867" width="28.25" style="1503" customWidth="1"/>
    <col min="4868" max="4868" width="12.375" style="1503" customWidth="1"/>
    <col min="4869" max="4869" width="11.25" style="1503" customWidth="1"/>
    <col min="4870" max="4870" width="11.875" style="1503" customWidth="1"/>
    <col min="4871" max="4871" width="11.75" style="1503" customWidth="1"/>
    <col min="4872" max="4872" width="11.875" style="1503" customWidth="1"/>
    <col min="4873" max="4875" width="11.75" style="1503" customWidth="1"/>
    <col min="4876" max="4877" width="10.75" style="1503" customWidth="1"/>
    <col min="4878" max="4878" width="25.25" style="1503" bestFit="1" customWidth="1"/>
    <col min="4879" max="4879" width="16.375" style="1503" bestFit="1" customWidth="1"/>
    <col min="4880" max="5120" width="9" style="1503"/>
    <col min="5121" max="5121" width="5.875" style="1503" customWidth="1"/>
    <col min="5122" max="5122" width="11.375" style="1503" customWidth="1"/>
    <col min="5123" max="5123" width="28.25" style="1503" customWidth="1"/>
    <col min="5124" max="5124" width="12.375" style="1503" customWidth="1"/>
    <col min="5125" max="5125" width="11.25" style="1503" customWidth="1"/>
    <col min="5126" max="5126" width="11.875" style="1503" customWidth="1"/>
    <col min="5127" max="5127" width="11.75" style="1503" customWidth="1"/>
    <col min="5128" max="5128" width="11.875" style="1503" customWidth="1"/>
    <col min="5129" max="5131" width="11.75" style="1503" customWidth="1"/>
    <col min="5132" max="5133" width="10.75" style="1503" customWidth="1"/>
    <col min="5134" max="5134" width="25.25" style="1503" bestFit="1" customWidth="1"/>
    <col min="5135" max="5135" width="16.375" style="1503" bestFit="1" customWidth="1"/>
    <col min="5136" max="5376" width="9" style="1503"/>
    <col min="5377" max="5377" width="5.875" style="1503" customWidth="1"/>
    <col min="5378" max="5378" width="11.375" style="1503" customWidth="1"/>
    <col min="5379" max="5379" width="28.25" style="1503" customWidth="1"/>
    <col min="5380" max="5380" width="12.375" style="1503" customWidth="1"/>
    <col min="5381" max="5381" width="11.25" style="1503" customWidth="1"/>
    <col min="5382" max="5382" width="11.875" style="1503" customWidth="1"/>
    <col min="5383" max="5383" width="11.75" style="1503" customWidth="1"/>
    <col min="5384" max="5384" width="11.875" style="1503" customWidth="1"/>
    <col min="5385" max="5387" width="11.75" style="1503" customWidth="1"/>
    <col min="5388" max="5389" width="10.75" style="1503" customWidth="1"/>
    <col min="5390" max="5390" width="25.25" style="1503" bestFit="1" customWidth="1"/>
    <col min="5391" max="5391" width="16.375" style="1503" bestFit="1" customWidth="1"/>
    <col min="5392" max="5632" width="9" style="1503"/>
    <col min="5633" max="5633" width="5.875" style="1503" customWidth="1"/>
    <col min="5634" max="5634" width="11.375" style="1503" customWidth="1"/>
    <col min="5635" max="5635" width="28.25" style="1503" customWidth="1"/>
    <col min="5636" max="5636" width="12.375" style="1503" customWidth="1"/>
    <col min="5637" max="5637" width="11.25" style="1503" customWidth="1"/>
    <col min="5638" max="5638" width="11.875" style="1503" customWidth="1"/>
    <col min="5639" max="5639" width="11.75" style="1503" customWidth="1"/>
    <col min="5640" max="5640" width="11.875" style="1503" customWidth="1"/>
    <col min="5641" max="5643" width="11.75" style="1503" customWidth="1"/>
    <col min="5644" max="5645" width="10.75" style="1503" customWidth="1"/>
    <col min="5646" max="5646" width="25.25" style="1503" bestFit="1" customWidth="1"/>
    <col min="5647" max="5647" width="16.375" style="1503" bestFit="1" customWidth="1"/>
    <col min="5648" max="5888" width="9" style="1503"/>
    <col min="5889" max="5889" width="5.875" style="1503" customWidth="1"/>
    <col min="5890" max="5890" width="11.375" style="1503" customWidth="1"/>
    <col min="5891" max="5891" width="28.25" style="1503" customWidth="1"/>
    <col min="5892" max="5892" width="12.375" style="1503" customWidth="1"/>
    <col min="5893" max="5893" width="11.25" style="1503" customWidth="1"/>
    <col min="5894" max="5894" width="11.875" style="1503" customWidth="1"/>
    <col min="5895" max="5895" width="11.75" style="1503" customWidth="1"/>
    <col min="5896" max="5896" width="11.875" style="1503" customWidth="1"/>
    <col min="5897" max="5899" width="11.75" style="1503" customWidth="1"/>
    <col min="5900" max="5901" width="10.75" style="1503" customWidth="1"/>
    <col min="5902" max="5902" width="25.25" style="1503" bestFit="1" customWidth="1"/>
    <col min="5903" max="5903" width="16.375" style="1503" bestFit="1" customWidth="1"/>
    <col min="5904" max="6144" width="9" style="1503"/>
    <col min="6145" max="6145" width="5.875" style="1503" customWidth="1"/>
    <col min="6146" max="6146" width="11.375" style="1503" customWidth="1"/>
    <col min="6147" max="6147" width="28.25" style="1503" customWidth="1"/>
    <col min="6148" max="6148" width="12.375" style="1503" customWidth="1"/>
    <col min="6149" max="6149" width="11.25" style="1503" customWidth="1"/>
    <col min="6150" max="6150" width="11.875" style="1503" customWidth="1"/>
    <col min="6151" max="6151" width="11.75" style="1503" customWidth="1"/>
    <col min="6152" max="6152" width="11.875" style="1503" customWidth="1"/>
    <col min="6153" max="6155" width="11.75" style="1503" customWidth="1"/>
    <col min="6156" max="6157" width="10.75" style="1503" customWidth="1"/>
    <col min="6158" max="6158" width="25.25" style="1503" bestFit="1" customWidth="1"/>
    <col min="6159" max="6159" width="16.375" style="1503" bestFit="1" customWidth="1"/>
    <col min="6160" max="6400" width="9" style="1503"/>
    <col min="6401" max="6401" width="5.875" style="1503" customWidth="1"/>
    <col min="6402" max="6402" width="11.375" style="1503" customWidth="1"/>
    <col min="6403" max="6403" width="28.25" style="1503" customWidth="1"/>
    <col min="6404" max="6404" width="12.375" style="1503" customWidth="1"/>
    <col min="6405" max="6405" width="11.25" style="1503" customWidth="1"/>
    <col min="6406" max="6406" width="11.875" style="1503" customWidth="1"/>
    <col min="6407" max="6407" width="11.75" style="1503" customWidth="1"/>
    <col min="6408" max="6408" width="11.875" style="1503" customWidth="1"/>
    <col min="6409" max="6411" width="11.75" style="1503" customWidth="1"/>
    <col min="6412" max="6413" width="10.75" style="1503" customWidth="1"/>
    <col min="6414" max="6414" width="25.25" style="1503" bestFit="1" customWidth="1"/>
    <col min="6415" max="6415" width="16.375" style="1503" bestFit="1" customWidth="1"/>
    <col min="6416" max="6656" width="9" style="1503"/>
    <col min="6657" max="6657" width="5.875" style="1503" customWidth="1"/>
    <col min="6658" max="6658" width="11.375" style="1503" customWidth="1"/>
    <col min="6659" max="6659" width="28.25" style="1503" customWidth="1"/>
    <col min="6660" max="6660" width="12.375" style="1503" customWidth="1"/>
    <col min="6661" max="6661" width="11.25" style="1503" customWidth="1"/>
    <col min="6662" max="6662" width="11.875" style="1503" customWidth="1"/>
    <col min="6663" max="6663" width="11.75" style="1503" customWidth="1"/>
    <col min="6664" max="6664" width="11.875" style="1503" customWidth="1"/>
    <col min="6665" max="6667" width="11.75" style="1503" customWidth="1"/>
    <col min="6668" max="6669" width="10.75" style="1503" customWidth="1"/>
    <col min="6670" max="6670" width="25.25" style="1503" bestFit="1" customWidth="1"/>
    <col min="6671" max="6671" width="16.375" style="1503" bestFit="1" customWidth="1"/>
    <col min="6672" max="6912" width="9" style="1503"/>
    <col min="6913" max="6913" width="5.875" style="1503" customWidth="1"/>
    <col min="6914" max="6914" width="11.375" style="1503" customWidth="1"/>
    <col min="6915" max="6915" width="28.25" style="1503" customWidth="1"/>
    <col min="6916" max="6916" width="12.375" style="1503" customWidth="1"/>
    <col min="6917" max="6917" width="11.25" style="1503" customWidth="1"/>
    <col min="6918" max="6918" width="11.875" style="1503" customWidth="1"/>
    <col min="6919" max="6919" width="11.75" style="1503" customWidth="1"/>
    <col min="6920" max="6920" width="11.875" style="1503" customWidth="1"/>
    <col min="6921" max="6923" width="11.75" style="1503" customWidth="1"/>
    <col min="6924" max="6925" width="10.75" style="1503" customWidth="1"/>
    <col min="6926" max="6926" width="25.25" style="1503" bestFit="1" customWidth="1"/>
    <col min="6927" max="6927" width="16.375" style="1503" bestFit="1" customWidth="1"/>
    <col min="6928" max="7168" width="9" style="1503"/>
    <col min="7169" max="7169" width="5.875" style="1503" customWidth="1"/>
    <col min="7170" max="7170" width="11.375" style="1503" customWidth="1"/>
    <col min="7171" max="7171" width="28.25" style="1503" customWidth="1"/>
    <col min="7172" max="7172" width="12.375" style="1503" customWidth="1"/>
    <col min="7173" max="7173" width="11.25" style="1503" customWidth="1"/>
    <col min="7174" max="7174" width="11.875" style="1503" customWidth="1"/>
    <col min="7175" max="7175" width="11.75" style="1503" customWidth="1"/>
    <col min="7176" max="7176" width="11.875" style="1503" customWidth="1"/>
    <col min="7177" max="7179" width="11.75" style="1503" customWidth="1"/>
    <col min="7180" max="7181" width="10.75" style="1503" customWidth="1"/>
    <col min="7182" max="7182" width="25.25" style="1503" bestFit="1" customWidth="1"/>
    <col min="7183" max="7183" width="16.375" style="1503" bestFit="1" customWidth="1"/>
    <col min="7184" max="7424" width="9" style="1503"/>
    <col min="7425" max="7425" width="5.875" style="1503" customWidth="1"/>
    <col min="7426" max="7426" width="11.375" style="1503" customWidth="1"/>
    <col min="7427" max="7427" width="28.25" style="1503" customWidth="1"/>
    <col min="7428" max="7428" width="12.375" style="1503" customWidth="1"/>
    <col min="7429" max="7429" width="11.25" style="1503" customWidth="1"/>
    <col min="7430" max="7430" width="11.875" style="1503" customWidth="1"/>
    <col min="7431" max="7431" width="11.75" style="1503" customWidth="1"/>
    <col min="7432" max="7432" width="11.875" style="1503" customWidth="1"/>
    <col min="7433" max="7435" width="11.75" style="1503" customWidth="1"/>
    <col min="7436" max="7437" width="10.75" style="1503" customWidth="1"/>
    <col min="7438" max="7438" width="25.25" style="1503" bestFit="1" customWidth="1"/>
    <col min="7439" max="7439" width="16.375" style="1503" bestFit="1" customWidth="1"/>
    <col min="7440" max="7680" width="9" style="1503"/>
    <col min="7681" max="7681" width="5.875" style="1503" customWidth="1"/>
    <col min="7682" max="7682" width="11.375" style="1503" customWidth="1"/>
    <col min="7683" max="7683" width="28.25" style="1503" customWidth="1"/>
    <col min="7684" max="7684" width="12.375" style="1503" customWidth="1"/>
    <col min="7685" max="7685" width="11.25" style="1503" customWidth="1"/>
    <col min="7686" max="7686" width="11.875" style="1503" customWidth="1"/>
    <col min="7687" max="7687" width="11.75" style="1503" customWidth="1"/>
    <col min="7688" max="7688" width="11.875" style="1503" customWidth="1"/>
    <col min="7689" max="7691" width="11.75" style="1503" customWidth="1"/>
    <col min="7692" max="7693" width="10.75" style="1503" customWidth="1"/>
    <col min="7694" max="7694" width="25.25" style="1503" bestFit="1" customWidth="1"/>
    <col min="7695" max="7695" width="16.375" style="1503" bestFit="1" customWidth="1"/>
    <col min="7696" max="7936" width="9" style="1503"/>
    <col min="7937" max="7937" width="5.875" style="1503" customWidth="1"/>
    <col min="7938" max="7938" width="11.375" style="1503" customWidth="1"/>
    <col min="7939" max="7939" width="28.25" style="1503" customWidth="1"/>
    <col min="7940" max="7940" width="12.375" style="1503" customWidth="1"/>
    <col min="7941" max="7941" width="11.25" style="1503" customWidth="1"/>
    <col min="7942" max="7942" width="11.875" style="1503" customWidth="1"/>
    <col min="7943" max="7943" width="11.75" style="1503" customWidth="1"/>
    <col min="7944" max="7944" width="11.875" style="1503" customWidth="1"/>
    <col min="7945" max="7947" width="11.75" style="1503" customWidth="1"/>
    <col min="7948" max="7949" width="10.75" style="1503" customWidth="1"/>
    <col min="7950" max="7950" width="25.25" style="1503" bestFit="1" customWidth="1"/>
    <col min="7951" max="7951" width="16.375" style="1503" bestFit="1" customWidth="1"/>
    <col min="7952" max="8192" width="9" style="1503"/>
    <col min="8193" max="8193" width="5.875" style="1503" customWidth="1"/>
    <col min="8194" max="8194" width="11.375" style="1503" customWidth="1"/>
    <col min="8195" max="8195" width="28.25" style="1503" customWidth="1"/>
    <col min="8196" max="8196" width="12.375" style="1503" customWidth="1"/>
    <col min="8197" max="8197" width="11.25" style="1503" customWidth="1"/>
    <col min="8198" max="8198" width="11.875" style="1503" customWidth="1"/>
    <col min="8199" max="8199" width="11.75" style="1503" customWidth="1"/>
    <col min="8200" max="8200" width="11.875" style="1503" customWidth="1"/>
    <col min="8201" max="8203" width="11.75" style="1503" customWidth="1"/>
    <col min="8204" max="8205" width="10.75" style="1503" customWidth="1"/>
    <col min="8206" max="8206" width="25.25" style="1503" bestFit="1" customWidth="1"/>
    <col min="8207" max="8207" width="16.375" style="1503" bestFit="1" customWidth="1"/>
    <col min="8208" max="8448" width="9" style="1503"/>
    <col min="8449" max="8449" width="5.875" style="1503" customWidth="1"/>
    <col min="8450" max="8450" width="11.375" style="1503" customWidth="1"/>
    <col min="8451" max="8451" width="28.25" style="1503" customWidth="1"/>
    <col min="8452" max="8452" width="12.375" style="1503" customWidth="1"/>
    <col min="8453" max="8453" width="11.25" style="1503" customWidth="1"/>
    <col min="8454" max="8454" width="11.875" style="1503" customWidth="1"/>
    <col min="8455" max="8455" width="11.75" style="1503" customWidth="1"/>
    <col min="8456" max="8456" width="11.875" style="1503" customWidth="1"/>
    <col min="8457" max="8459" width="11.75" style="1503" customWidth="1"/>
    <col min="8460" max="8461" width="10.75" style="1503" customWidth="1"/>
    <col min="8462" max="8462" width="25.25" style="1503" bestFit="1" customWidth="1"/>
    <col min="8463" max="8463" width="16.375" style="1503" bestFit="1" customWidth="1"/>
    <col min="8464" max="8704" width="9" style="1503"/>
    <col min="8705" max="8705" width="5.875" style="1503" customWidth="1"/>
    <col min="8706" max="8706" width="11.375" style="1503" customWidth="1"/>
    <col min="8707" max="8707" width="28.25" style="1503" customWidth="1"/>
    <col min="8708" max="8708" width="12.375" style="1503" customWidth="1"/>
    <col min="8709" max="8709" width="11.25" style="1503" customWidth="1"/>
    <col min="8710" max="8710" width="11.875" style="1503" customWidth="1"/>
    <col min="8711" max="8711" width="11.75" style="1503" customWidth="1"/>
    <col min="8712" max="8712" width="11.875" style="1503" customWidth="1"/>
    <col min="8713" max="8715" width="11.75" style="1503" customWidth="1"/>
    <col min="8716" max="8717" width="10.75" style="1503" customWidth="1"/>
    <col min="8718" max="8718" width="25.25" style="1503" bestFit="1" customWidth="1"/>
    <col min="8719" max="8719" width="16.375" style="1503" bestFit="1" customWidth="1"/>
    <col min="8720" max="8960" width="9" style="1503"/>
    <col min="8961" max="8961" width="5.875" style="1503" customWidth="1"/>
    <col min="8962" max="8962" width="11.375" style="1503" customWidth="1"/>
    <col min="8963" max="8963" width="28.25" style="1503" customWidth="1"/>
    <col min="8964" max="8964" width="12.375" style="1503" customWidth="1"/>
    <col min="8965" max="8965" width="11.25" style="1503" customWidth="1"/>
    <col min="8966" max="8966" width="11.875" style="1503" customWidth="1"/>
    <col min="8967" max="8967" width="11.75" style="1503" customWidth="1"/>
    <col min="8968" max="8968" width="11.875" style="1503" customWidth="1"/>
    <col min="8969" max="8971" width="11.75" style="1503" customWidth="1"/>
    <col min="8972" max="8973" width="10.75" style="1503" customWidth="1"/>
    <col min="8974" max="8974" width="25.25" style="1503" bestFit="1" customWidth="1"/>
    <col min="8975" max="8975" width="16.375" style="1503" bestFit="1" customWidth="1"/>
    <col min="8976" max="9216" width="9" style="1503"/>
    <col min="9217" max="9217" width="5.875" style="1503" customWidth="1"/>
    <col min="9218" max="9218" width="11.375" style="1503" customWidth="1"/>
    <col min="9219" max="9219" width="28.25" style="1503" customWidth="1"/>
    <col min="9220" max="9220" width="12.375" style="1503" customWidth="1"/>
    <col min="9221" max="9221" width="11.25" style="1503" customWidth="1"/>
    <col min="9222" max="9222" width="11.875" style="1503" customWidth="1"/>
    <col min="9223" max="9223" width="11.75" style="1503" customWidth="1"/>
    <col min="9224" max="9224" width="11.875" style="1503" customWidth="1"/>
    <col min="9225" max="9227" width="11.75" style="1503" customWidth="1"/>
    <col min="9228" max="9229" width="10.75" style="1503" customWidth="1"/>
    <col min="9230" max="9230" width="25.25" style="1503" bestFit="1" customWidth="1"/>
    <col min="9231" max="9231" width="16.375" style="1503" bestFit="1" customWidth="1"/>
    <col min="9232" max="9472" width="9" style="1503"/>
    <col min="9473" max="9473" width="5.875" style="1503" customWidth="1"/>
    <col min="9474" max="9474" width="11.375" style="1503" customWidth="1"/>
    <col min="9475" max="9475" width="28.25" style="1503" customWidth="1"/>
    <col min="9476" max="9476" width="12.375" style="1503" customWidth="1"/>
    <col min="9477" max="9477" width="11.25" style="1503" customWidth="1"/>
    <col min="9478" max="9478" width="11.875" style="1503" customWidth="1"/>
    <col min="9479" max="9479" width="11.75" style="1503" customWidth="1"/>
    <col min="9480" max="9480" width="11.875" style="1503" customWidth="1"/>
    <col min="9481" max="9483" width="11.75" style="1503" customWidth="1"/>
    <col min="9484" max="9485" width="10.75" style="1503" customWidth="1"/>
    <col min="9486" max="9486" width="25.25" style="1503" bestFit="1" customWidth="1"/>
    <col min="9487" max="9487" width="16.375" style="1503" bestFit="1" customWidth="1"/>
    <col min="9488" max="9728" width="9" style="1503"/>
    <col min="9729" max="9729" width="5.875" style="1503" customWidth="1"/>
    <col min="9730" max="9730" width="11.375" style="1503" customWidth="1"/>
    <col min="9731" max="9731" width="28.25" style="1503" customWidth="1"/>
    <col min="9732" max="9732" width="12.375" style="1503" customWidth="1"/>
    <col min="9733" max="9733" width="11.25" style="1503" customWidth="1"/>
    <col min="9734" max="9734" width="11.875" style="1503" customWidth="1"/>
    <col min="9735" max="9735" width="11.75" style="1503" customWidth="1"/>
    <col min="9736" max="9736" width="11.875" style="1503" customWidth="1"/>
    <col min="9737" max="9739" width="11.75" style="1503" customWidth="1"/>
    <col min="9740" max="9741" width="10.75" style="1503" customWidth="1"/>
    <col min="9742" max="9742" width="25.25" style="1503" bestFit="1" customWidth="1"/>
    <col min="9743" max="9743" width="16.375" style="1503" bestFit="1" customWidth="1"/>
    <col min="9744" max="9984" width="9" style="1503"/>
    <col min="9985" max="9985" width="5.875" style="1503" customWidth="1"/>
    <col min="9986" max="9986" width="11.375" style="1503" customWidth="1"/>
    <col min="9987" max="9987" width="28.25" style="1503" customWidth="1"/>
    <col min="9988" max="9988" width="12.375" style="1503" customWidth="1"/>
    <col min="9989" max="9989" width="11.25" style="1503" customWidth="1"/>
    <col min="9990" max="9990" width="11.875" style="1503" customWidth="1"/>
    <col min="9991" max="9991" width="11.75" style="1503" customWidth="1"/>
    <col min="9992" max="9992" width="11.875" style="1503" customWidth="1"/>
    <col min="9993" max="9995" width="11.75" style="1503" customWidth="1"/>
    <col min="9996" max="9997" width="10.75" style="1503" customWidth="1"/>
    <col min="9998" max="9998" width="25.25" style="1503" bestFit="1" customWidth="1"/>
    <col min="9999" max="9999" width="16.375" style="1503" bestFit="1" customWidth="1"/>
    <col min="10000" max="10240" width="9" style="1503"/>
    <col min="10241" max="10241" width="5.875" style="1503" customWidth="1"/>
    <col min="10242" max="10242" width="11.375" style="1503" customWidth="1"/>
    <col min="10243" max="10243" width="28.25" style="1503" customWidth="1"/>
    <col min="10244" max="10244" width="12.375" style="1503" customWidth="1"/>
    <col min="10245" max="10245" width="11.25" style="1503" customWidth="1"/>
    <col min="10246" max="10246" width="11.875" style="1503" customWidth="1"/>
    <col min="10247" max="10247" width="11.75" style="1503" customWidth="1"/>
    <col min="10248" max="10248" width="11.875" style="1503" customWidth="1"/>
    <col min="10249" max="10251" width="11.75" style="1503" customWidth="1"/>
    <col min="10252" max="10253" width="10.75" style="1503" customWidth="1"/>
    <col min="10254" max="10254" width="25.25" style="1503" bestFit="1" customWidth="1"/>
    <col min="10255" max="10255" width="16.375" style="1503" bestFit="1" customWidth="1"/>
    <col min="10256" max="10496" width="9" style="1503"/>
    <col min="10497" max="10497" width="5.875" style="1503" customWidth="1"/>
    <col min="10498" max="10498" width="11.375" style="1503" customWidth="1"/>
    <col min="10499" max="10499" width="28.25" style="1503" customWidth="1"/>
    <col min="10500" max="10500" width="12.375" style="1503" customWidth="1"/>
    <col min="10501" max="10501" width="11.25" style="1503" customWidth="1"/>
    <col min="10502" max="10502" width="11.875" style="1503" customWidth="1"/>
    <col min="10503" max="10503" width="11.75" style="1503" customWidth="1"/>
    <col min="10504" max="10504" width="11.875" style="1503" customWidth="1"/>
    <col min="10505" max="10507" width="11.75" style="1503" customWidth="1"/>
    <col min="10508" max="10509" width="10.75" style="1503" customWidth="1"/>
    <col min="10510" max="10510" width="25.25" style="1503" bestFit="1" customWidth="1"/>
    <col min="10511" max="10511" width="16.375" style="1503" bestFit="1" customWidth="1"/>
    <col min="10512" max="10752" width="9" style="1503"/>
    <col min="10753" max="10753" width="5.875" style="1503" customWidth="1"/>
    <col min="10754" max="10754" width="11.375" style="1503" customWidth="1"/>
    <col min="10755" max="10755" width="28.25" style="1503" customWidth="1"/>
    <col min="10756" max="10756" width="12.375" style="1503" customWidth="1"/>
    <col min="10757" max="10757" width="11.25" style="1503" customWidth="1"/>
    <col min="10758" max="10758" width="11.875" style="1503" customWidth="1"/>
    <col min="10759" max="10759" width="11.75" style="1503" customWidth="1"/>
    <col min="10760" max="10760" width="11.875" style="1503" customWidth="1"/>
    <col min="10761" max="10763" width="11.75" style="1503" customWidth="1"/>
    <col min="10764" max="10765" width="10.75" style="1503" customWidth="1"/>
    <col min="10766" max="10766" width="25.25" style="1503" bestFit="1" customWidth="1"/>
    <col min="10767" max="10767" width="16.375" style="1503" bestFit="1" customWidth="1"/>
    <col min="10768" max="11008" width="9" style="1503"/>
    <col min="11009" max="11009" width="5.875" style="1503" customWidth="1"/>
    <col min="11010" max="11010" width="11.375" style="1503" customWidth="1"/>
    <col min="11011" max="11011" width="28.25" style="1503" customWidth="1"/>
    <col min="11012" max="11012" width="12.375" style="1503" customWidth="1"/>
    <col min="11013" max="11013" width="11.25" style="1503" customWidth="1"/>
    <col min="11014" max="11014" width="11.875" style="1503" customWidth="1"/>
    <col min="11015" max="11015" width="11.75" style="1503" customWidth="1"/>
    <col min="11016" max="11016" width="11.875" style="1503" customWidth="1"/>
    <col min="11017" max="11019" width="11.75" style="1503" customWidth="1"/>
    <col min="11020" max="11021" width="10.75" style="1503" customWidth="1"/>
    <col min="11022" max="11022" width="25.25" style="1503" bestFit="1" customWidth="1"/>
    <col min="11023" max="11023" width="16.375" style="1503" bestFit="1" customWidth="1"/>
    <col min="11024" max="11264" width="9" style="1503"/>
    <col min="11265" max="11265" width="5.875" style="1503" customWidth="1"/>
    <col min="11266" max="11266" width="11.375" style="1503" customWidth="1"/>
    <col min="11267" max="11267" width="28.25" style="1503" customWidth="1"/>
    <col min="11268" max="11268" width="12.375" style="1503" customWidth="1"/>
    <col min="11269" max="11269" width="11.25" style="1503" customWidth="1"/>
    <col min="11270" max="11270" width="11.875" style="1503" customWidth="1"/>
    <col min="11271" max="11271" width="11.75" style="1503" customWidth="1"/>
    <col min="11272" max="11272" width="11.875" style="1503" customWidth="1"/>
    <col min="11273" max="11275" width="11.75" style="1503" customWidth="1"/>
    <col min="11276" max="11277" width="10.75" style="1503" customWidth="1"/>
    <col min="11278" max="11278" width="25.25" style="1503" bestFit="1" customWidth="1"/>
    <col min="11279" max="11279" width="16.375" style="1503" bestFit="1" customWidth="1"/>
    <col min="11280" max="11520" width="9" style="1503"/>
    <col min="11521" max="11521" width="5.875" style="1503" customWidth="1"/>
    <col min="11522" max="11522" width="11.375" style="1503" customWidth="1"/>
    <col min="11523" max="11523" width="28.25" style="1503" customWidth="1"/>
    <col min="11524" max="11524" width="12.375" style="1503" customWidth="1"/>
    <col min="11525" max="11525" width="11.25" style="1503" customWidth="1"/>
    <col min="11526" max="11526" width="11.875" style="1503" customWidth="1"/>
    <col min="11527" max="11527" width="11.75" style="1503" customWidth="1"/>
    <col min="11528" max="11528" width="11.875" style="1503" customWidth="1"/>
    <col min="11529" max="11531" width="11.75" style="1503" customWidth="1"/>
    <col min="11532" max="11533" width="10.75" style="1503" customWidth="1"/>
    <col min="11534" max="11534" width="25.25" style="1503" bestFit="1" customWidth="1"/>
    <col min="11535" max="11535" width="16.375" style="1503" bestFit="1" customWidth="1"/>
    <col min="11536" max="11776" width="9" style="1503"/>
    <col min="11777" max="11777" width="5.875" style="1503" customWidth="1"/>
    <col min="11778" max="11778" width="11.375" style="1503" customWidth="1"/>
    <col min="11779" max="11779" width="28.25" style="1503" customWidth="1"/>
    <col min="11780" max="11780" width="12.375" style="1503" customWidth="1"/>
    <col min="11781" max="11781" width="11.25" style="1503" customWidth="1"/>
    <col min="11782" max="11782" width="11.875" style="1503" customWidth="1"/>
    <col min="11783" max="11783" width="11.75" style="1503" customWidth="1"/>
    <col min="11784" max="11784" width="11.875" style="1503" customWidth="1"/>
    <col min="11785" max="11787" width="11.75" style="1503" customWidth="1"/>
    <col min="11788" max="11789" width="10.75" style="1503" customWidth="1"/>
    <col min="11790" max="11790" width="25.25" style="1503" bestFit="1" customWidth="1"/>
    <col min="11791" max="11791" width="16.375" style="1503" bestFit="1" customWidth="1"/>
    <col min="11792" max="12032" width="9" style="1503"/>
    <col min="12033" max="12033" width="5.875" style="1503" customWidth="1"/>
    <col min="12034" max="12034" width="11.375" style="1503" customWidth="1"/>
    <col min="12035" max="12035" width="28.25" style="1503" customWidth="1"/>
    <col min="12036" max="12036" width="12.375" style="1503" customWidth="1"/>
    <col min="12037" max="12037" width="11.25" style="1503" customWidth="1"/>
    <col min="12038" max="12038" width="11.875" style="1503" customWidth="1"/>
    <col min="12039" max="12039" width="11.75" style="1503" customWidth="1"/>
    <col min="12040" max="12040" width="11.875" style="1503" customWidth="1"/>
    <col min="12041" max="12043" width="11.75" style="1503" customWidth="1"/>
    <col min="12044" max="12045" width="10.75" style="1503" customWidth="1"/>
    <col min="12046" max="12046" width="25.25" style="1503" bestFit="1" customWidth="1"/>
    <col min="12047" max="12047" width="16.375" style="1503" bestFit="1" customWidth="1"/>
    <col min="12048" max="12288" width="9" style="1503"/>
    <col min="12289" max="12289" width="5.875" style="1503" customWidth="1"/>
    <col min="12290" max="12290" width="11.375" style="1503" customWidth="1"/>
    <col min="12291" max="12291" width="28.25" style="1503" customWidth="1"/>
    <col min="12292" max="12292" width="12.375" style="1503" customWidth="1"/>
    <col min="12293" max="12293" width="11.25" style="1503" customWidth="1"/>
    <col min="12294" max="12294" width="11.875" style="1503" customWidth="1"/>
    <col min="12295" max="12295" width="11.75" style="1503" customWidth="1"/>
    <col min="12296" max="12296" width="11.875" style="1503" customWidth="1"/>
    <col min="12297" max="12299" width="11.75" style="1503" customWidth="1"/>
    <col min="12300" max="12301" width="10.75" style="1503" customWidth="1"/>
    <col min="12302" max="12302" width="25.25" style="1503" bestFit="1" customWidth="1"/>
    <col min="12303" max="12303" width="16.375" style="1503" bestFit="1" customWidth="1"/>
    <col min="12304" max="12544" width="9" style="1503"/>
    <col min="12545" max="12545" width="5.875" style="1503" customWidth="1"/>
    <col min="12546" max="12546" width="11.375" style="1503" customWidth="1"/>
    <col min="12547" max="12547" width="28.25" style="1503" customWidth="1"/>
    <col min="12548" max="12548" width="12.375" style="1503" customWidth="1"/>
    <col min="12549" max="12549" width="11.25" style="1503" customWidth="1"/>
    <col min="12550" max="12550" width="11.875" style="1503" customWidth="1"/>
    <col min="12551" max="12551" width="11.75" style="1503" customWidth="1"/>
    <col min="12552" max="12552" width="11.875" style="1503" customWidth="1"/>
    <col min="12553" max="12555" width="11.75" style="1503" customWidth="1"/>
    <col min="12556" max="12557" width="10.75" style="1503" customWidth="1"/>
    <col min="12558" max="12558" width="25.25" style="1503" bestFit="1" customWidth="1"/>
    <col min="12559" max="12559" width="16.375" style="1503" bestFit="1" customWidth="1"/>
    <col min="12560" max="12800" width="9" style="1503"/>
    <col min="12801" max="12801" width="5.875" style="1503" customWidth="1"/>
    <col min="12802" max="12802" width="11.375" style="1503" customWidth="1"/>
    <col min="12803" max="12803" width="28.25" style="1503" customWidth="1"/>
    <col min="12804" max="12804" width="12.375" style="1503" customWidth="1"/>
    <col min="12805" max="12805" width="11.25" style="1503" customWidth="1"/>
    <col min="12806" max="12806" width="11.875" style="1503" customWidth="1"/>
    <col min="12807" max="12807" width="11.75" style="1503" customWidth="1"/>
    <col min="12808" max="12808" width="11.875" style="1503" customWidth="1"/>
    <col min="12809" max="12811" width="11.75" style="1503" customWidth="1"/>
    <col min="12812" max="12813" width="10.75" style="1503" customWidth="1"/>
    <col min="12814" max="12814" width="25.25" style="1503" bestFit="1" customWidth="1"/>
    <col min="12815" max="12815" width="16.375" style="1503" bestFit="1" customWidth="1"/>
    <col min="12816" max="13056" width="9" style="1503"/>
    <col min="13057" max="13057" width="5.875" style="1503" customWidth="1"/>
    <col min="13058" max="13058" width="11.375" style="1503" customWidth="1"/>
    <col min="13059" max="13059" width="28.25" style="1503" customWidth="1"/>
    <col min="13060" max="13060" width="12.375" style="1503" customWidth="1"/>
    <col min="13061" max="13061" width="11.25" style="1503" customWidth="1"/>
    <col min="13062" max="13062" width="11.875" style="1503" customWidth="1"/>
    <col min="13063" max="13063" width="11.75" style="1503" customWidth="1"/>
    <col min="13064" max="13064" width="11.875" style="1503" customWidth="1"/>
    <col min="13065" max="13067" width="11.75" style="1503" customWidth="1"/>
    <col min="13068" max="13069" width="10.75" style="1503" customWidth="1"/>
    <col min="13070" max="13070" width="25.25" style="1503" bestFit="1" customWidth="1"/>
    <col min="13071" max="13071" width="16.375" style="1503" bestFit="1" customWidth="1"/>
    <col min="13072" max="13312" width="9" style="1503"/>
    <col min="13313" max="13313" width="5.875" style="1503" customWidth="1"/>
    <col min="13314" max="13314" width="11.375" style="1503" customWidth="1"/>
    <col min="13315" max="13315" width="28.25" style="1503" customWidth="1"/>
    <col min="13316" max="13316" width="12.375" style="1503" customWidth="1"/>
    <col min="13317" max="13317" width="11.25" style="1503" customWidth="1"/>
    <col min="13318" max="13318" width="11.875" style="1503" customWidth="1"/>
    <col min="13319" max="13319" width="11.75" style="1503" customWidth="1"/>
    <col min="13320" max="13320" width="11.875" style="1503" customWidth="1"/>
    <col min="13321" max="13323" width="11.75" style="1503" customWidth="1"/>
    <col min="13324" max="13325" width="10.75" style="1503" customWidth="1"/>
    <col min="13326" max="13326" width="25.25" style="1503" bestFit="1" customWidth="1"/>
    <col min="13327" max="13327" width="16.375" style="1503" bestFit="1" customWidth="1"/>
    <col min="13328" max="13568" width="9" style="1503"/>
    <col min="13569" max="13569" width="5.875" style="1503" customWidth="1"/>
    <col min="13570" max="13570" width="11.375" style="1503" customWidth="1"/>
    <col min="13571" max="13571" width="28.25" style="1503" customWidth="1"/>
    <col min="13572" max="13572" width="12.375" style="1503" customWidth="1"/>
    <col min="13573" max="13573" width="11.25" style="1503" customWidth="1"/>
    <col min="13574" max="13574" width="11.875" style="1503" customWidth="1"/>
    <col min="13575" max="13575" width="11.75" style="1503" customWidth="1"/>
    <col min="13576" max="13576" width="11.875" style="1503" customWidth="1"/>
    <col min="13577" max="13579" width="11.75" style="1503" customWidth="1"/>
    <col min="13580" max="13581" width="10.75" style="1503" customWidth="1"/>
    <col min="13582" max="13582" width="25.25" style="1503" bestFit="1" customWidth="1"/>
    <col min="13583" max="13583" width="16.375" style="1503" bestFit="1" customWidth="1"/>
    <col min="13584" max="13824" width="9" style="1503"/>
    <col min="13825" max="13825" width="5.875" style="1503" customWidth="1"/>
    <col min="13826" max="13826" width="11.375" style="1503" customWidth="1"/>
    <col min="13827" max="13827" width="28.25" style="1503" customWidth="1"/>
    <col min="13828" max="13828" width="12.375" style="1503" customWidth="1"/>
    <col min="13829" max="13829" width="11.25" style="1503" customWidth="1"/>
    <col min="13830" max="13830" width="11.875" style="1503" customWidth="1"/>
    <col min="13831" max="13831" width="11.75" style="1503" customWidth="1"/>
    <col min="13832" max="13832" width="11.875" style="1503" customWidth="1"/>
    <col min="13833" max="13835" width="11.75" style="1503" customWidth="1"/>
    <col min="13836" max="13837" width="10.75" style="1503" customWidth="1"/>
    <col min="13838" max="13838" width="25.25" style="1503" bestFit="1" customWidth="1"/>
    <col min="13839" max="13839" width="16.375" style="1503" bestFit="1" customWidth="1"/>
    <col min="13840" max="14080" width="9" style="1503"/>
    <col min="14081" max="14081" width="5.875" style="1503" customWidth="1"/>
    <col min="14082" max="14082" width="11.375" style="1503" customWidth="1"/>
    <col min="14083" max="14083" width="28.25" style="1503" customWidth="1"/>
    <col min="14084" max="14084" width="12.375" style="1503" customWidth="1"/>
    <col min="14085" max="14085" width="11.25" style="1503" customWidth="1"/>
    <col min="14086" max="14086" width="11.875" style="1503" customWidth="1"/>
    <col min="14087" max="14087" width="11.75" style="1503" customWidth="1"/>
    <col min="14088" max="14088" width="11.875" style="1503" customWidth="1"/>
    <col min="14089" max="14091" width="11.75" style="1503" customWidth="1"/>
    <col min="14092" max="14093" width="10.75" style="1503" customWidth="1"/>
    <col min="14094" max="14094" width="25.25" style="1503" bestFit="1" customWidth="1"/>
    <col min="14095" max="14095" width="16.375" style="1503" bestFit="1" customWidth="1"/>
    <col min="14096" max="14336" width="9" style="1503"/>
    <col min="14337" max="14337" width="5.875" style="1503" customWidth="1"/>
    <col min="14338" max="14338" width="11.375" style="1503" customWidth="1"/>
    <col min="14339" max="14339" width="28.25" style="1503" customWidth="1"/>
    <col min="14340" max="14340" width="12.375" style="1503" customWidth="1"/>
    <col min="14341" max="14341" width="11.25" style="1503" customWidth="1"/>
    <col min="14342" max="14342" width="11.875" style="1503" customWidth="1"/>
    <col min="14343" max="14343" width="11.75" style="1503" customWidth="1"/>
    <col min="14344" max="14344" width="11.875" style="1503" customWidth="1"/>
    <col min="14345" max="14347" width="11.75" style="1503" customWidth="1"/>
    <col min="14348" max="14349" width="10.75" style="1503" customWidth="1"/>
    <col min="14350" max="14350" width="25.25" style="1503" bestFit="1" customWidth="1"/>
    <col min="14351" max="14351" width="16.375" style="1503" bestFit="1" customWidth="1"/>
    <col min="14352" max="14592" width="9" style="1503"/>
    <col min="14593" max="14593" width="5.875" style="1503" customWidth="1"/>
    <col min="14594" max="14594" width="11.375" style="1503" customWidth="1"/>
    <col min="14595" max="14595" width="28.25" style="1503" customWidth="1"/>
    <col min="14596" max="14596" width="12.375" style="1503" customWidth="1"/>
    <col min="14597" max="14597" width="11.25" style="1503" customWidth="1"/>
    <col min="14598" max="14598" width="11.875" style="1503" customWidth="1"/>
    <col min="14599" max="14599" width="11.75" style="1503" customWidth="1"/>
    <col min="14600" max="14600" width="11.875" style="1503" customWidth="1"/>
    <col min="14601" max="14603" width="11.75" style="1503" customWidth="1"/>
    <col min="14604" max="14605" width="10.75" style="1503" customWidth="1"/>
    <col min="14606" max="14606" width="25.25" style="1503" bestFit="1" customWidth="1"/>
    <col min="14607" max="14607" width="16.375" style="1503" bestFit="1" customWidth="1"/>
    <col min="14608" max="14848" width="9" style="1503"/>
    <col min="14849" max="14849" width="5.875" style="1503" customWidth="1"/>
    <col min="14850" max="14850" width="11.375" style="1503" customWidth="1"/>
    <col min="14851" max="14851" width="28.25" style="1503" customWidth="1"/>
    <col min="14852" max="14852" width="12.375" style="1503" customWidth="1"/>
    <col min="14853" max="14853" width="11.25" style="1503" customWidth="1"/>
    <col min="14854" max="14854" width="11.875" style="1503" customWidth="1"/>
    <col min="14855" max="14855" width="11.75" style="1503" customWidth="1"/>
    <col min="14856" max="14856" width="11.875" style="1503" customWidth="1"/>
    <col min="14857" max="14859" width="11.75" style="1503" customWidth="1"/>
    <col min="14860" max="14861" width="10.75" style="1503" customWidth="1"/>
    <col min="14862" max="14862" width="25.25" style="1503" bestFit="1" customWidth="1"/>
    <col min="14863" max="14863" width="16.375" style="1503" bestFit="1" customWidth="1"/>
    <col min="14864" max="15104" width="9" style="1503"/>
    <col min="15105" max="15105" width="5.875" style="1503" customWidth="1"/>
    <col min="15106" max="15106" width="11.375" style="1503" customWidth="1"/>
    <col min="15107" max="15107" width="28.25" style="1503" customWidth="1"/>
    <col min="15108" max="15108" width="12.375" style="1503" customWidth="1"/>
    <col min="15109" max="15109" width="11.25" style="1503" customWidth="1"/>
    <col min="15110" max="15110" width="11.875" style="1503" customWidth="1"/>
    <col min="15111" max="15111" width="11.75" style="1503" customWidth="1"/>
    <col min="15112" max="15112" width="11.875" style="1503" customWidth="1"/>
    <col min="15113" max="15115" width="11.75" style="1503" customWidth="1"/>
    <col min="15116" max="15117" width="10.75" style="1503" customWidth="1"/>
    <col min="15118" max="15118" width="25.25" style="1503" bestFit="1" customWidth="1"/>
    <col min="15119" max="15119" width="16.375" style="1503" bestFit="1" customWidth="1"/>
    <col min="15120" max="15360" width="9" style="1503"/>
    <col min="15361" max="15361" width="5.875" style="1503" customWidth="1"/>
    <col min="15362" max="15362" width="11.375" style="1503" customWidth="1"/>
    <col min="15363" max="15363" width="28.25" style="1503" customWidth="1"/>
    <col min="15364" max="15364" width="12.375" style="1503" customWidth="1"/>
    <col min="15365" max="15365" width="11.25" style="1503" customWidth="1"/>
    <col min="15366" max="15366" width="11.875" style="1503" customWidth="1"/>
    <col min="15367" max="15367" width="11.75" style="1503" customWidth="1"/>
    <col min="15368" max="15368" width="11.875" style="1503" customWidth="1"/>
    <col min="15369" max="15371" width="11.75" style="1503" customWidth="1"/>
    <col min="15372" max="15373" width="10.75" style="1503" customWidth="1"/>
    <col min="15374" max="15374" width="25.25" style="1503" bestFit="1" customWidth="1"/>
    <col min="15375" max="15375" width="16.375" style="1503" bestFit="1" customWidth="1"/>
    <col min="15376" max="15616" width="9" style="1503"/>
    <col min="15617" max="15617" width="5.875" style="1503" customWidth="1"/>
    <col min="15618" max="15618" width="11.375" style="1503" customWidth="1"/>
    <col min="15619" max="15619" width="28.25" style="1503" customWidth="1"/>
    <col min="15620" max="15620" width="12.375" style="1503" customWidth="1"/>
    <col min="15621" max="15621" width="11.25" style="1503" customWidth="1"/>
    <col min="15622" max="15622" width="11.875" style="1503" customWidth="1"/>
    <col min="15623" max="15623" width="11.75" style="1503" customWidth="1"/>
    <col min="15624" max="15624" width="11.875" style="1503" customWidth="1"/>
    <col min="15625" max="15627" width="11.75" style="1503" customWidth="1"/>
    <col min="15628" max="15629" width="10.75" style="1503" customWidth="1"/>
    <col min="15630" max="15630" width="25.25" style="1503" bestFit="1" customWidth="1"/>
    <col min="15631" max="15631" width="16.375" style="1503" bestFit="1" customWidth="1"/>
    <col min="15632" max="15872" width="9" style="1503"/>
    <col min="15873" max="15873" width="5.875" style="1503" customWidth="1"/>
    <col min="15874" max="15874" width="11.375" style="1503" customWidth="1"/>
    <col min="15875" max="15875" width="28.25" style="1503" customWidth="1"/>
    <col min="15876" max="15876" width="12.375" style="1503" customWidth="1"/>
    <col min="15877" max="15877" width="11.25" style="1503" customWidth="1"/>
    <col min="15878" max="15878" width="11.875" style="1503" customWidth="1"/>
    <col min="15879" max="15879" width="11.75" style="1503" customWidth="1"/>
    <col min="15880" max="15880" width="11.875" style="1503" customWidth="1"/>
    <col min="15881" max="15883" width="11.75" style="1503" customWidth="1"/>
    <col min="15884" max="15885" width="10.75" style="1503" customWidth="1"/>
    <col min="15886" max="15886" width="25.25" style="1503" bestFit="1" customWidth="1"/>
    <col min="15887" max="15887" width="16.375" style="1503" bestFit="1" customWidth="1"/>
    <col min="15888" max="16128" width="9" style="1503"/>
    <col min="16129" max="16129" width="5.875" style="1503" customWidth="1"/>
    <col min="16130" max="16130" width="11.375" style="1503" customWidth="1"/>
    <col min="16131" max="16131" width="28.25" style="1503" customWidth="1"/>
    <col min="16132" max="16132" width="12.375" style="1503" customWidth="1"/>
    <col min="16133" max="16133" width="11.25" style="1503" customWidth="1"/>
    <col min="16134" max="16134" width="11.875" style="1503" customWidth="1"/>
    <col min="16135" max="16135" width="11.75" style="1503" customWidth="1"/>
    <col min="16136" max="16136" width="11.875" style="1503" customWidth="1"/>
    <col min="16137" max="16139" width="11.75" style="1503" customWidth="1"/>
    <col min="16140" max="16141" width="10.75" style="1503" customWidth="1"/>
    <col min="16142" max="16142" width="25.25" style="1503" bestFit="1" customWidth="1"/>
    <col min="16143" max="16143" width="16.375" style="1503" bestFit="1" customWidth="1"/>
    <col min="16144" max="16384" width="9" style="1503"/>
  </cols>
  <sheetData>
    <row r="2" spans="2:27" s="1144" customFormat="1" ht="20.25" x14ac:dyDescent="0.3">
      <c r="B2" s="1143" t="s">
        <v>772</v>
      </c>
      <c r="D2" s="1145"/>
      <c r="F2" s="1146"/>
      <c r="G2" s="1146"/>
      <c r="H2" s="1146"/>
      <c r="S2" s="1147"/>
      <c r="T2" s="1147"/>
      <c r="U2" s="1147"/>
      <c r="V2" s="1148"/>
      <c r="W2" s="1147"/>
      <c r="X2" s="1147"/>
      <c r="Y2" s="1147"/>
      <c r="Z2" s="1147"/>
      <c r="AA2" s="1147"/>
    </row>
    <row r="3" spans="2:27" s="1144" customFormat="1" ht="18" x14ac:dyDescent="0.25">
      <c r="B3" s="1149" t="s">
        <v>896</v>
      </c>
      <c r="D3" s="1145"/>
      <c r="F3" s="1146"/>
      <c r="G3" s="1146"/>
      <c r="H3" s="1146"/>
      <c r="S3" s="1147"/>
      <c r="T3" s="1147"/>
      <c r="U3" s="1147"/>
      <c r="V3" s="1148"/>
      <c r="W3" s="1147"/>
      <c r="X3" s="1147"/>
      <c r="Y3" s="1147"/>
      <c r="Z3" s="1147"/>
      <c r="AA3" s="1147"/>
    </row>
    <row r="4" spans="2:27" s="1144" customFormat="1" ht="18" x14ac:dyDescent="0.25">
      <c r="B4" s="1149"/>
      <c r="D4" s="1145"/>
      <c r="F4" s="1146"/>
      <c r="G4" s="1146"/>
      <c r="H4" s="1146"/>
      <c r="S4" s="1147"/>
      <c r="T4" s="1147"/>
      <c r="U4" s="1147"/>
      <c r="V4" s="1148"/>
      <c r="W4" s="1147"/>
      <c r="X4" s="1147"/>
      <c r="Y4" s="1147"/>
      <c r="Z4" s="1147"/>
      <c r="AA4" s="1147"/>
    </row>
    <row r="5" spans="2:27" s="1144" customFormat="1" ht="18" x14ac:dyDescent="0.25">
      <c r="B5" s="2948" t="s">
        <v>773</v>
      </c>
      <c r="C5" s="2949"/>
      <c r="D5" s="2949"/>
      <c r="E5" s="2949"/>
      <c r="F5" s="2949"/>
      <c r="G5" s="2949"/>
      <c r="H5" s="2949"/>
      <c r="I5" s="2950"/>
      <c r="S5" s="1147"/>
      <c r="T5" s="1147"/>
      <c r="U5" s="1147"/>
      <c r="V5" s="1147"/>
      <c r="W5" s="1148"/>
      <c r="X5" s="1147"/>
      <c r="Y5" s="1147"/>
      <c r="Z5" s="1147"/>
      <c r="AA5" s="1147"/>
    </row>
    <row r="6" spans="2:27" s="1144" customFormat="1" ht="30" x14ac:dyDescent="0.2">
      <c r="B6" s="1150" t="s">
        <v>620</v>
      </c>
      <c r="C6" s="2951" t="s">
        <v>621</v>
      </c>
      <c r="D6" s="2952"/>
      <c r="E6" s="2952"/>
      <c r="F6" s="2952"/>
      <c r="G6" s="1151"/>
      <c r="H6" s="1152" t="s">
        <v>622</v>
      </c>
      <c r="I6" s="1153" t="s">
        <v>451</v>
      </c>
      <c r="S6" s="1147"/>
      <c r="T6" s="1147"/>
      <c r="U6" s="1147"/>
      <c r="V6" s="1147"/>
      <c r="W6" s="1148"/>
      <c r="X6" s="1147"/>
      <c r="Y6" s="1147"/>
      <c r="Z6" s="1147"/>
      <c r="AA6" s="1147"/>
    </row>
    <row r="7" spans="2:27" s="1144" customFormat="1" ht="32.25" customHeight="1" x14ac:dyDescent="0.2">
      <c r="B7" s="1154">
        <v>1</v>
      </c>
      <c r="C7" s="2953" t="s">
        <v>902</v>
      </c>
      <c r="D7" s="2954"/>
      <c r="E7" s="2954"/>
      <c r="F7" s="2954"/>
      <c r="G7" s="2955"/>
      <c r="H7" s="1155" t="str">
        <f>IF(M17&gt;0,"มี","ไม่มี")</f>
        <v>มี</v>
      </c>
      <c r="I7" s="1156">
        <f>IF(H7="มี",5,0)</f>
        <v>5</v>
      </c>
      <c r="S7" s="1147"/>
      <c r="T7" s="1147"/>
      <c r="U7" s="1147"/>
      <c r="V7" s="1147"/>
      <c r="W7" s="1148"/>
      <c r="X7" s="1147"/>
      <c r="Y7" s="1147"/>
      <c r="Z7" s="1147"/>
      <c r="AA7" s="1147"/>
    </row>
    <row r="8" spans="2:27" s="1144" customFormat="1" ht="14.25" x14ac:dyDescent="0.2">
      <c r="B8" s="1157">
        <v>2</v>
      </c>
      <c r="C8" s="2953" t="s">
        <v>774</v>
      </c>
      <c r="D8" s="2954"/>
      <c r="E8" s="2954"/>
      <c r="F8" s="2954"/>
      <c r="G8" s="2955"/>
      <c r="H8" s="1155" t="str">
        <f>IF(I8&gt;0,"มี","ไม่มี")</f>
        <v>มี</v>
      </c>
      <c r="I8" s="1158">
        <f>IF(SUM(I9:I13)&gt;5,5,SUM(I9:I13))</f>
        <v>5</v>
      </c>
      <c r="S8" s="1147"/>
      <c r="T8" s="1147"/>
      <c r="U8" s="1147"/>
      <c r="V8" s="1147"/>
      <c r="W8" s="1148"/>
      <c r="X8" s="1147"/>
      <c r="Y8" s="1147"/>
      <c r="Z8" s="1147"/>
      <c r="AA8" s="1147"/>
    </row>
    <row r="9" spans="2:27" s="1144" customFormat="1" ht="14.25" x14ac:dyDescent="0.2">
      <c r="B9" s="1159"/>
      <c r="C9" s="1160" t="s">
        <v>775</v>
      </c>
      <c r="D9" s="1161"/>
      <c r="E9" s="1161"/>
      <c r="F9" s="1161"/>
      <c r="G9" s="1162"/>
      <c r="H9" s="1163">
        <f>COUNTIF(T101:T120,"0.2")+COUNTIF(T128:T147,"0.2")+COUNTIF(T155:T174,"0.2")+COUNTIF(T182:T201,"0.2")</f>
        <v>0</v>
      </c>
      <c r="I9" s="1164">
        <f>H9*1</f>
        <v>0</v>
      </c>
      <c r="S9" s="1147"/>
      <c r="T9" s="1147"/>
      <c r="U9" s="1147"/>
      <c r="V9" s="1147"/>
      <c r="W9" s="1148"/>
      <c r="X9" s="1147"/>
      <c r="Y9" s="1147"/>
      <c r="Z9" s="1147"/>
      <c r="AA9" s="1147"/>
    </row>
    <row r="10" spans="2:27" s="1144" customFormat="1" ht="14.25" x14ac:dyDescent="0.2">
      <c r="B10" s="1159"/>
      <c r="C10" s="1160" t="s">
        <v>776</v>
      </c>
      <c r="D10" s="1161"/>
      <c r="E10" s="1161"/>
      <c r="F10" s="1161"/>
      <c r="G10" s="1162"/>
      <c r="H10" s="1163">
        <f>COUNTIF(T101:T120,"0.4")+COUNTIF(T128:T147,"0.4")+COUNTIF(T155:T174,"0.4")+COUNTIF(T182:T201,"0.4")</f>
        <v>4</v>
      </c>
      <c r="I10" s="1164">
        <f>H10*2</f>
        <v>8</v>
      </c>
      <c r="S10" s="1147"/>
      <c r="T10" s="1147"/>
      <c r="U10" s="1147"/>
      <c r="V10" s="1147"/>
      <c r="W10" s="1148"/>
      <c r="X10" s="1147"/>
      <c r="Y10" s="1147"/>
      <c r="Z10" s="1147"/>
      <c r="AA10" s="1147"/>
    </row>
    <row r="11" spans="2:27" s="1144" customFormat="1" ht="14.25" x14ac:dyDescent="0.2">
      <c r="B11" s="1159"/>
      <c r="C11" s="1160" t="s">
        <v>777</v>
      </c>
      <c r="D11" s="1161"/>
      <c r="E11" s="1161"/>
      <c r="F11" s="1161"/>
      <c r="G11" s="1162"/>
      <c r="H11" s="1163">
        <f>COUNTIF(T101:T120,"0.6")+COUNTIF(T128:T147,"0.6")+COUNTIF(T155:T174,"0.6")+COUNTIF(T182:T201,"0.6")</f>
        <v>0</v>
      </c>
      <c r="I11" s="1164">
        <f>H11*3</f>
        <v>0</v>
      </c>
      <c r="S11" s="1147"/>
      <c r="T11" s="1147"/>
      <c r="U11" s="1147"/>
      <c r="V11" s="1147"/>
      <c r="W11" s="1148"/>
      <c r="X11" s="1147"/>
      <c r="Y11" s="1147"/>
      <c r="Z11" s="1147"/>
      <c r="AA11" s="1147"/>
    </row>
    <row r="12" spans="2:27" s="1144" customFormat="1" ht="14.25" x14ac:dyDescent="0.2">
      <c r="B12" s="1159"/>
      <c r="C12" s="1160" t="s">
        <v>778</v>
      </c>
      <c r="D12" s="1161"/>
      <c r="E12" s="1161"/>
      <c r="F12" s="1161"/>
      <c r="G12" s="1162"/>
      <c r="H12" s="1163">
        <f>COUNTIF(T101:T120,"0.8")+COUNTIF(T128:T147,"0.8")+COUNTIF(T155:T174,"0.8")+COUNTIF(T182:T201,"0.8")</f>
        <v>0</v>
      </c>
      <c r="I12" s="1164">
        <f>H12*4</f>
        <v>0</v>
      </c>
      <c r="S12" s="1147"/>
      <c r="T12" s="1147"/>
      <c r="U12" s="1147"/>
      <c r="V12" s="1147"/>
      <c r="W12" s="1148"/>
      <c r="X12" s="1147"/>
      <c r="Y12" s="1147"/>
      <c r="Z12" s="1147"/>
      <c r="AA12" s="1147"/>
    </row>
    <row r="13" spans="2:27" s="1144" customFormat="1" ht="14.25" x14ac:dyDescent="0.2">
      <c r="B13" s="1165"/>
      <c r="C13" s="1166" t="s">
        <v>779</v>
      </c>
      <c r="D13" s="1167"/>
      <c r="E13" s="1167"/>
      <c r="F13" s="1167"/>
      <c r="G13" s="1168"/>
      <c r="H13" s="1169">
        <f>COUNTIF(T101:T120,"1.0")+COUNTIF(T128:T147,"1.0")+COUNTIF(T155:T174,"1.0")+COUNTIF(T182:T201,"1.0")</f>
        <v>0</v>
      </c>
      <c r="I13" s="1170">
        <f>H13*5</f>
        <v>0</v>
      </c>
      <c r="S13" s="1147"/>
      <c r="T13" s="1147"/>
      <c r="U13" s="1147"/>
      <c r="V13" s="1147"/>
      <c r="W13" s="1148"/>
      <c r="X13" s="1147"/>
      <c r="Y13" s="1147"/>
      <c r="Z13" s="1147"/>
      <c r="AA13" s="1147"/>
    </row>
    <row r="14" spans="2:27" s="1144" customFormat="1" ht="22.5" customHeight="1" x14ac:dyDescent="0.2">
      <c r="B14" s="2956" t="s">
        <v>780</v>
      </c>
      <c r="C14" s="2957"/>
      <c r="D14" s="2957"/>
      <c r="E14" s="2957"/>
      <c r="F14" s="2957"/>
      <c r="G14" s="2957"/>
      <c r="H14" s="2958"/>
      <c r="I14" s="1171">
        <f>I8+I7</f>
        <v>10</v>
      </c>
      <c r="S14" s="1506"/>
      <c r="T14" s="1147"/>
      <c r="U14" s="1147"/>
      <c r="V14" s="1147"/>
      <c r="W14" s="1148"/>
      <c r="X14" s="1147"/>
      <c r="Y14" s="1147"/>
      <c r="Z14" s="1147"/>
      <c r="AA14" s="1147"/>
    </row>
    <row r="15" spans="2:27" s="1144" customFormat="1" ht="18" x14ac:dyDescent="0.25">
      <c r="B15" s="1149"/>
      <c r="D15" s="1145"/>
      <c r="F15" s="1146"/>
      <c r="G15" s="1146"/>
      <c r="H15" s="1146"/>
      <c r="S15" s="1147"/>
      <c r="T15" s="1147"/>
      <c r="U15" s="1147"/>
      <c r="V15" s="1148"/>
      <c r="W15" s="1147"/>
      <c r="X15" s="1147"/>
      <c r="Y15" s="1147"/>
      <c r="Z15" s="1147"/>
      <c r="AA15" s="1147"/>
    </row>
    <row r="16" spans="2:27" s="1144" customFormat="1" ht="18" x14ac:dyDescent="0.25">
      <c r="B16" s="2948" t="s">
        <v>781</v>
      </c>
      <c r="C16" s="2949"/>
      <c r="D16" s="2949"/>
      <c r="E16" s="2949"/>
      <c r="F16" s="2949"/>
      <c r="G16" s="2949"/>
      <c r="H16" s="2949"/>
      <c r="I16" s="2950"/>
      <c r="S16" s="1147"/>
      <c r="T16" s="1147"/>
      <c r="U16" s="1147"/>
      <c r="V16" s="1148"/>
      <c r="W16" s="1147"/>
      <c r="X16" s="1147"/>
      <c r="Y16" s="1147"/>
      <c r="Z16" s="1147"/>
      <c r="AA16" s="1147"/>
    </row>
    <row r="17" spans="2:27" s="1144" customFormat="1" ht="21" customHeight="1" x14ac:dyDescent="0.25">
      <c r="B17" s="1172" t="s">
        <v>782</v>
      </c>
      <c r="C17" s="1173"/>
      <c r="D17" s="1174"/>
      <c r="E17" s="1175"/>
      <c r="F17" s="1175"/>
      <c r="G17" s="1176"/>
      <c r="H17" s="1177"/>
      <c r="I17" s="1177"/>
      <c r="J17" s="1177"/>
      <c r="K17" s="1177"/>
      <c r="L17" s="1177"/>
      <c r="M17" s="1178">
        <f>M37+M51+M60+M92+M71+M80</f>
        <v>3</v>
      </c>
      <c r="N17" s="1178"/>
      <c r="O17" s="1177"/>
      <c r="P17" s="1179"/>
      <c r="Q17" s="1180"/>
      <c r="R17" s="1180"/>
      <c r="S17" s="1508"/>
      <c r="T17" s="1147"/>
      <c r="U17" s="1147"/>
      <c r="V17" s="1148"/>
      <c r="W17" s="1147"/>
      <c r="X17" s="1147"/>
      <c r="Y17" s="1147"/>
      <c r="Z17" s="1147"/>
      <c r="AA17" s="1147"/>
    </row>
    <row r="18" spans="2:27" s="1187" customFormat="1" ht="21" customHeight="1" x14ac:dyDescent="0.2">
      <c r="B18" s="1181" t="s">
        <v>783</v>
      </c>
      <c r="C18" s="1182"/>
      <c r="D18" s="1183"/>
      <c r="E18" s="1183"/>
      <c r="F18" s="1183"/>
      <c r="G18" s="1305"/>
      <c r="H18" s="1305"/>
      <c r="I18" s="1859"/>
      <c r="J18" s="2964" t="s">
        <v>621</v>
      </c>
      <c r="K18" s="2965"/>
      <c r="L18" s="2965"/>
      <c r="M18" s="2965"/>
      <c r="N18" s="2965"/>
      <c r="O18" s="2965"/>
      <c r="P18" s="2966"/>
      <c r="Q18" s="1184"/>
      <c r="R18" s="1184"/>
      <c r="S18" s="1507"/>
      <c r="T18" s="1185"/>
      <c r="U18" s="1185"/>
      <c r="V18" s="1186"/>
      <c r="W18" s="1185"/>
      <c r="X18" s="1185"/>
      <c r="Y18" s="1185"/>
      <c r="Z18" s="1185"/>
      <c r="AA18" s="1185"/>
    </row>
    <row r="19" spans="2:27" s="1198" customFormat="1" ht="12.75" customHeight="1" x14ac:dyDescent="0.2">
      <c r="B19" s="1188"/>
      <c r="C19" s="1189" t="s">
        <v>751</v>
      </c>
      <c r="D19" s="2962" t="s">
        <v>1239</v>
      </c>
      <c r="E19" s="1189" t="s">
        <v>784</v>
      </c>
      <c r="F19" s="1190" t="s">
        <v>752</v>
      </c>
      <c r="G19" s="1913" t="s">
        <v>639</v>
      </c>
      <c r="H19" s="1191" t="s">
        <v>639</v>
      </c>
      <c r="I19" s="1192" t="s">
        <v>639</v>
      </c>
      <c r="J19" s="1193" t="s">
        <v>785</v>
      </c>
      <c r="K19" s="1194" t="s">
        <v>786</v>
      </c>
      <c r="L19" s="1194" t="s">
        <v>787</v>
      </c>
      <c r="M19" s="2967" t="s">
        <v>788</v>
      </c>
      <c r="N19" s="2968"/>
      <c r="O19" s="2968"/>
      <c r="P19" s="2969"/>
      <c r="Q19" s="1195"/>
      <c r="R19" s="1195"/>
      <c r="S19" s="1196"/>
      <c r="T19" s="1196"/>
      <c r="U19" s="1196"/>
      <c r="V19" s="1197"/>
      <c r="W19" s="1196"/>
      <c r="X19" s="1196"/>
      <c r="Y19" s="1196"/>
      <c r="Z19" s="1196"/>
      <c r="AA19" s="1196"/>
    </row>
    <row r="20" spans="2:27" s="1209" customFormat="1" x14ac:dyDescent="0.2">
      <c r="B20" s="1199"/>
      <c r="C20" s="1200"/>
      <c r="D20" s="2963"/>
      <c r="E20" s="1201"/>
      <c r="F20" s="1201" t="s">
        <v>754</v>
      </c>
      <c r="G20" s="1914" t="s">
        <v>789</v>
      </c>
      <c r="H20" s="1202" t="s">
        <v>641</v>
      </c>
      <c r="I20" s="1203" t="s">
        <v>510</v>
      </c>
      <c r="J20" s="1204" t="s">
        <v>790</v>
      </c>
      <c r="K20" s="1205" t="s">
        <v>1245</v>
      </c>
      <c r="L20" s="1247" t="s">
        <v>1245</v>
      </c>
      <c r="M20" s="2970"/>
      <c r="N20" s="2971"/>
      <c r="O20" s="2971"/>
      <c r="P20" s="2972"/>
      <c r="Q20" s="1206"/>
      <c r="R20" s="1206"/>
      <c r="S20" s="1518"/>
      <c r="T20" s="1518"/>
      <c r="U20" s="1207"/>
      <c r="V20" s="1208"/>
      <c r="W20" s="1207"/>
      <c r="X20" s="1207"/>
      <c r="Y20" s="1207"/>
      <c r="Z20" s="1207"/>
      <c r="AA20" s="1207"/>
    </row>
    <row r="21" spans="2:27" s="1217" customFormat="1" x14ac:dyDescent="0.2">
      <c r="B21" s="1210"/>
      <c r="C21" s="1211" t="s">
        <v>1202</v>
      </c>
      <c r="D21" s="1212"/>
      <c r="E21" s="1212"/>
      <c r="F21" s="1212"/>
      <c r="G21" s="1915"/>
      <c r="H21" s="1213"/>
      <c r="I21" s="1214"/>
      <c r="J21" s="2973" t="s">
        <v>897</v>
      </c>
      <c r="K21" s="2974"/>
      <c r="L21" s="2974"/>
      <c r="M21" s="2974"/>
      <c r="N21" s="2974"/>
      <c r="O21" s="2974"/>
      <c r="P21" s="2975"/>
      <c r="Q21" s="1215"/>
      <c r="R21" s="1215"/>
      <c r="S21" s="1519">
        <v>241336</v>
      </c>
      <c r="T21" s="1519">
        <v>241700</v>
      </c>
      <c r="U21" s="1216"/>
      <c r="V21" s="1197"/>
      <c r="W21" s="1216"/>
      <c r="X21" s="1216"/>
      <c r="Y21" s="1216"/>
      <c r="Z21" s="1216"/>
      <c r="AA21" s="1216"/>
    </row>
    <row r="22" spans="2:27" s="1231" customFormat="1" x14ac:dyDescent="0.2">
      <c r="B22" s="1218" t="s">
        <v>791</v>
      </c>
      <c r="C22" s="2121" t="s">
        <v>1304</v>
      </c>
      <c r="D22" s="1220">
        <v>250000</v>
      </c>
      <c r="E22" s="1221">
        <v>5</v>
      </c>
      <c r="F22" s="1221">
        <v>60</v>
      </c>
      <c r="G22" s="1916">
        <f>H22*2</f>
        <v>290</v>
      </c>
      <c r="H22" s="1222">
        <f>I22*15</f>
        <v>145</v>
      </c>
      <c r="I22" s="1223">
        <f>IF(W22&gt;35,35,W22)</f>
        <v>9.6666666666666661</v>
      </c>
      <c r="J22" s="1224" t="s">
        <v>1307</v>
      </c>
      <c r="K22" s="2126">
        <v>241122</v>
      </c>
      <c r="L22" s="2126" t="s">
        <v>1308</v>
      </c>
      <c r="M22" s="2959"/>
      <c r="N22" s="2960"/>
      <c r="O22" s="2960"/>
      <c r="P22" s="2961"/>
      <c r="Q22" s="1228"/>
      <c r="R22" s="1228"/>
      <c r="S22" s="1229">
        <f>IF(K22&lt;&gt;"",IF(AND(K22&lt;=$S$21),0,1),"")</f>
        <v>0</v>
      </c>
      <c r="T22" s="1229">
        <f>IF(L22&lt;&gt;"",IF(AND(L22&gt;=$S$21,L22&lt;=$T$21),1,IF(L22&gt;$T$21,1,0)),"")</f>
        <v>1</v>
      </c>
      <c r="U22" s="1229">
        <f>IF(AND(S22=0,T22=1),1,IF(AND(S22=1,T22=1),1,0))</f>
        <v>1</v>
      </c>
      <c r="V22" s="1229">
        <f>IF(OR(D22="",D22=0,E22="",E22=0,F22="",F22=0),0,D22*(F22/100))</f>
        <v>150000</v>
      </c>
      <c r="W22" s="1230">
        <f>IF(V22&gt;=200000,((TRUNC(V22/200000,0)*100000)*0.000005)+10.5,IF(V22&gt;=110000,(170+TRUNC(((V22-20000)/30000),0)*30)/30,IF(V22&gt;=50000,(110+TRUNC(((V22-10000)/20000),0)*30)/30,IF(V22&gt;0,(20+TRUNC((V22/10000),0)*30)/30,0))))</f>
        <v>9.6666666666666661</v>
      </c>
      <c r="X22" s="1230"/>
      <c r="Y22" s="1230"/>
      <c r="Z22" s="1230"/>
      <c r="AA22" s="1230"/>
    </row>
    <row r="23" spans="2:27" s="1231" customFormat="1" x14ac:dyDescent="0.2">
      <c r="B23" s="1218" t="s">
        <v>792</v>
      </c>
      <c r="C23" s="2121" t="s">
        <v>1302</v>
      </c>
      <c r="D23" s="1220">
        <v>300000</v>
      </c>
      <c r="E23" s="1221">
        <v>1</v>
      </c>
      <c r="F23" s="1221">
        <v>100</v>
      </c>
      <c r="G23" s="1916">
        <f t="shared" ref="G23:G36" si="0">H23*2</f>
        <v>330</v>
      </c>
      <c r="H23" s="1222">
        <f t="shared" ref="H23:H36" si="1">I23*15</f>
        <v>165</v>
      </c>
      <c r="I23" s="1223">
        <f t="shared" ref="I23:I34" si="2">IF(W23&gt;35,35,W23)</f>
        <v>11</v>
      </c>
      <c r="J23" s="1232" t="s">
        <v>1305</v>
      </c>
      <c r="K23" s="2126">
        <v>240818</v>
      </c>
      <c r="L23" s="2126">
        <v>241732</v>
      </c>
      <c r="M23" s="2959"/>
      <c r="N23" s="2960"/>
      <c r="O23" s="2960"/>
      <c r="P23" s="2961"/>
      <c r="Q23" s="1228"/>
      <c r="R23" s="1228"/>
      <c r="S23" s="1229">
        <f t="shared" ref="S23:S59" si="3">IF(K23&lt;&gt;"",IF(AND(K23&lt;=$S$21),0,1),"")</f>
        <v>0</v>
      </c>
      <c r="T23" s="1229">
        <f t="shared" ref="T23:T59" si="4">IF(L23&lt;&gt;"",IF(AND(L23&gt;=$S$21,L23&lt;=$T$21),1,IF(L23&gt;$T$21,1,0)),"")</f>
        <v>1</v>
      </c>
      <c r="U23" s="1229">
        <f t="shared" ref="U23:U59" si="5">IF(AND(S23=0,T23=1),1,IF(AND(S23=1,T23=1),1,0))</f>
        <v>1</v>
      </c>
      <c r="V23" s="1229">
        <f t="shared" ref="V23:V36" si="6">IF(OR(D23="",D23=0,E23="",E23=0,F23="",F23=0),0,D23*(F23/100))</f>
        <v>300000</v>
      </c>
      <c r="W23" s="1230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11</v>
      </c>
      <c r="X23" s="1230"/>
      <c r="Y23" s="1230"/>
      <c r="Z23" s="1230"/>
      <c r="AA23" s="1230"/>
    </row>
    <row r="24" spans="2:27" s="1231" customFormat="1" x14ac:dyDescent="0.2">
      <c r="B24" s="1218" t="s">
        <v>793</v>
      </c>
      <c r="C24" s="2121" t="s">
        <v>1303</v>
      </c>
      <c r="D24" s="1220">
        <v>250000</v>
      </c>
      <c r="E24" s="1221">
        <v>2</v>
      </c>
      <c r="F24" s="1221">
        <v>80</v>
      </c>
      <c r="G24" s="1916">
        <f t="shared" si="0"/>
        <v>330</v>
      </c>
      <c r="H24" s="1222">
        <f t="shared" si="1"/>
        <v>165</v>
      </c>
      <c r="I24" s="1223">
        <f t="shared" si="2"/>
        <v>11</v>
      </c>
      <c r="J24" s="1232" t="s">
        <v>1306</v>
      </c>
      <c r="K24" s="2126">
        <v>241063</v>
      </c>
      <c r="L24" s="2126" t="s">
        <v>1309</v>
      </c>
      <c r="M24" s="2959"/>
      <c r="N24" s="2960"/>
      <c r="O24" s="2960"/>
      <c r="P24" s="2961"/>
      <c r="Q24" s="1228"/>
      <c r="R24" s="1228"/>
      <c r="S24" s="1229">
        <f t="shared" si="3"/>
        <v>0</v>
      </c>
      <c r="T24" s="1229">
        <f t="shared" si="4"/>
        <v>1</v>
      </c>
      <c r="U24" s="1229">
        <f t="shared" si="5"/>
        <v>1</v>
      </c>
      <c r="V24" s="1229">
        <f t="shared" si="6"/>
        <v>200000</v>
      </c>
      <c r="W24" s="1230">
        <f t="shared" si="7"/>
        <v>11</v>
      </c>
      <c r="X24" s="1230"/>
      <c r="Y24" s="1230"/>
      <c r="Z24" s="1230"/>
      <c r="AA24" s="1230"/>
    </row>
    <row r="25" spans="2:27" s="1231" customFormat="1" x14ac:dyDescent="0.2">
      <c r="B25" s="1218" t="s">
        <v>794</v>
      </c>
      <c r="C25" s="2121"/>
      <c r="D25" s="1220"/>
      <c r="E25" s="1221"/>
      <c r="F25" s="1221"/>
      <c r="G25" s="1916">
        <f t="shared" si="0"/>
        <v>0</v>
      </c>
      <c r="H25" s="1222">
        <f t="shared" si="1"/>
        <v>0</v>
      </c>
      <c r="I25" s="1223">
        <f t="shared" si="2"/>
        <v>0</v>
      </c>
      <c r="J25" s="1224"/>
      <c r="K25" s="2126"/>
      <c r="L25" s="2126"/>
      <c r="M25" s="2959"/>
      <c r="N25" s="2960"/>
      <c r="O25" s="2960"/>
      <c r="P25" s="2961"/>
      <c r="Q25" s="1228"/>
      <c r="R25" s="1228"/>
      <c r="S25" s="1229" t="str">
        <f t="shared" si="3"/>
        <v/>
      </c>
      <c r="T25" s="1229" t="str">
        <f t="shared" si="4"/>
        <v/>
      </c>
      <c r="U25" s="1229">
        <f t="shared" si="5"/>
        <v>0</v>
      </c>
      <c r="V25" s="1229">
        <f t="shared" si="6"/>
        <v>0</v>
      </c>
      <c r="W25" s="1230">
        <f t="shared" si="7"/>
        <v>0</v>
      </c>
      <c r="X25" s="1230"/>
      <c r="Y25" s="1230"/>
      <c r="Z25" s="1230"/>
      <c r="AA25" s="1230"/>
    </row>
    <row r="26" spans="2:27" s="1231" customFormat="1" x14ac:dyDescent="0.2">
      <c r="B26" s="1218" t="s">
        <v>795</v>
      </c>
      <c r="C26" s="1219"/>
      <c r="D26" s="1220"/>
      <c r="E26" s="1221"/>
      <c r="F26" s="1221"/>
      <c r="G26" s="1916">
        <f t="shared" si="0"/>
        <v>0</v>
      </c>
      <c r="H26" s="1222">
        <f t="shared" si="1"/>
        <v>0</v>
      </c>
      <c r="I26" s="1223">
        <f t="shared" si="2"/>
        <v>0</v>
      </c>
      <c r="J26" s="1232"/>
      <c r="K26" s="2025"/>
      <c r="L26" s="2025"/>
      <c r="M26" s="2959"/>
      <c r="N26" s="2960"/>
      <c r="O26" s="2960"/>
      <c r="P26" s="2961"/>
      <c r="Q26" s="1228"/>
      <c r="R26" s="1228"/>
      <c r="S26" s="1229" t="str">
        <f t="shared" si="3"/>
        <v/>
      </c>
      <c r="T26" s="1229" t="str">
        <f t="shared" si="4"/>
        <v/>
      </c>
      <c r="U26" s="1229">
        <f t="shared" si="5"/>
        <v>0</v>
      </c>
      <c r="V26" s="1229">
        <f t="shared" si="6"/>
        <v>0</v>
      </c>
      <c r="W26" s="1230">
        <f t="shared" si="7"/>
        <v>0</v>
      </c>
      <c r="X26" s="1230"/>
      <c r="Y26" s="1230"/>
      <c r="Z26" s="1230"/>
      <c r="AA26" s="1230"/>
    </row>
    <row r="27" spans="2:27" s="1231" customFormat="1" x14ac:dyDescent="0.2">
      <c r="B27" s="1218" t="s">
        <v>796</v>
      </c>
      <c r="C27" s="1219"/>
      <c r="D27" s="1220"/>
      <c r="E27" s="1221"/>
      <c r="F27" s="1221"/>
      <c r="G27" s="1916">
        <f t="shared" si="0"/>
        <v>0</v>
      </c>
      <c r="H27" s="1222">
        <f t="shared" si="1"/>
        <v>0</v>
      </c>
      <c r="I27" s="1223">
        <f t="shared" si="2"/>
        <v>0</v>
      </c>
      <c r="J27" s="1232"/>
      <c r="K27" s="2025"/>
      <c r="L27" s="2025"/>
      <c r="M27" s="2959"/>
      <c r="N27" s="2960"/>
      <c r="O27" s="2960"/>
      <c r="P27" s="2961"/>
      <c r="Q27" s="1228"/>
      <c r="R27" s="1228"/>
      <c r="S27" s="1229" t="str">
        <f t="shared" si="3"/>
        <v/>
      </c>
      <c r="T27" s="1229" t="str">
        <f t="shared" si="4"/>
        <v/>
      </c>
      <c r="U27" s="1229">
        <f t="shared" si="5"/>
        <v>0</v>
      </c>
      <c r="V27" s="1229">
        <f t="shared" si="6"/>
        <v>0</v>
      </c>
      <c r="W27" s="1230">
        <f t="shared" si="7"/>
        <v>0</v>
      </c>
      <c r="X27" s="1230"/>
      <c r="Y27" s="1230"/>
      <c r="Z27" s="1230"/>
      <c r="AA27" s="1230"/>
    </row>
    <row r="28" spans="2:27" s="1231" customFormat="1" x14ac:dyDescent="0.2">
      <c r="B28" s="1218" t="s">
        <v>797</v>
      </c>
      <c r="C28" s="1219"/>
      <c r="D28" s="1220"/>
      <c r="E28" s="1221"/>
      <c r="F28" s="1221"/>
      <c r="G28" s="1916">
        <f t="shared" si="0"/>
        <v>0</v>
      </c>
      <c r="H28" s="1222">
        <f t="shared" si="1"/>
        <v>0</v>
      </c>
      <c r="I28" s="1223">
        <f t="shared" si="2"/>
        <v>0</v>
      </c>
      <c r="J28" s="1232"/>
      <c r="K28" s="2025"/>
      <c r="L28" s="2025"/>
      <c r="M28" s="2959"/>
      <c r="N28" s="2960"/>
      <c r="O28" s="2960"/>
      <c r="P28" s="2961"/>
      <c r="Q28" s="1228"/>
      <c r="R28" s="1228"/>
      <c r="S28" s="1229" t="str">
        <f t="shared" si="3"/>
        <v/>
      </c>
      <c r="T28" s="1229" t="str">
        <f t="shared" si="4"/>
        <v/>
      </c>
      <c r="U28" s="1229">
        <f t="shared" si="5"/>
        <v>0</v>
      </c>
      <c r="V28" s="1229">
        <f t="shared" si="6"/>
        <v>0</v>
      </c>
      <c r="W28" s="1230">
        <f t="shared" si="7"/>
        <v>0</v>
      </c>
      <c r="X28" s="1230"/>
      <c r="Y28" s="1230"/>
      <c r="Z28" s="1230"/>
      <c r="AA28" s="1230"/>
    </row>
    <row r="29" spans="2:27" s="1231" customFormat="1" x14ac:dyDescent="0.2">
      <c r="B29" s="1218" t="s">
        <v>798</v>
      </c>
      <c r="C29" s="1219"/>
      <c r="D29" s="1220"/>
      <c r="E29" s="1221"/>
      <c r="F29" s="1221"/>
      <c r="G29" s="1916">
        <f t="shared" si="0"/>
        <v>0</v>
      </c>
      <c r="H29" s="1222">
        <f t="shared" si="1"/>
        <v>0</v>
      </c>
      <c r="I29" s="1223">
        <f t="shared" si="2"/>
        <v>0</v>
      </c>
      <c r="J29" s="1232"/>
      <c r="K29" s="2025"/>
      <c r="L29" s="2025"/>
      <c r="M29" s="1225"/>
      <c r="N29" s="1522"/>
      <c r="O29" s="1226"/>
      <c r="P29" s="1227"/>
      <c r="Q29" s="1228"/>
      <c r="R29" s="1228"/>
      <c r="S29" s="1229" t="str">
        <f t="shared" si="3"/>
        <v/>
      </c>
      <c r="T29" s="1229" t="str">
        <f t="shared" si="4"/>
        <v/>
      </c>
      <c r="U29" s="1229">
        <f t="shared" si="5"/>
        <v>0</v>
      </c>
      <c r="V29" s="1229">
        <f t="shared" si="6"/>
        <v>0</v>
      </c>
      <c r="W29" s="1230">
        <f t="shared" si="7"/>
        <v>0</v>
      </c>
      <c r="X29" s="1230"/>
      <c r="Y29" s="1230"/>
      <c r="Z29" s="1230"/>
      <c r="AA29" s="1230"/>
    </row>
    <row r="30" spans="2:27" s="1231" customFormat="1" x14ac:dyDescent="0.2">
      <c r="B30" s="1218" t="s">
        <v>799</v>
      </c>
      <c r="C30" s="1219"/>
      <c r="D30" s="1220"/>
      <c r="E30" s="1221"/>
      <c r="F30" s="1221"/>
      <c r="G30" s="1916">
        <f t="shared" si="0"/>
        <v>0</v>
      </c>
      <c r="H30" s="1222">
        <f t="shared" si="1"/>
        <v>0</v>
      </c>
      <c r="I30" s="1223">
        <f t="shared" si="2"/>
        <v>0</v>
      </c>
      <c r="J30" s="1232"/>
      <c r="K30" s="2025"/>
      <c r="L30" s="2025"/>
      <c r="M30" s="2959"/>
      <c r="N30" s="2960"/>
      <c r="O30" s="2960"/>
      <c r="P30" s="2961"/>
      <c r="Q30" s="1228"/>
      <c r="R30" s="1228"/>
      <c r="S30" s="1229" t="str">
        <f t="shared" si="3"/>
        <v/>
      </c>
      <c r="T30" s="1229" t="str">
        <f t="shared" si="4"/>
        <v/>
      </c>
      <c r="U30" s="1229">
        <f t="shared" si="5"/>
        <v>0</v>
      </c>
      <c r="V30" s="1229">
        <f t="shared" si="6"/>
        <v>0</v>
      </c>
      <c r="W30" s="1230">
        <f t="shared" si="7"/>
        <v>0</v>
      </c>
      <c r="X30" s="1230"/>
      <c r="Y30" s="1230"/>
      <c r="Z30" s="1230"/>
      <c r="AA30" s="1230"/>
    </row>
    <row r="31" spans="2:27" s="1231" customFormat="1" x14ac:dyDescent="0.2">
      <c r="B31" s="1218" t="s">
        <v>800</v>
      </c>
      <c r="C31" s="1219"/>
      <c r="D31" s="1220"/>
      <c r="E31" s="1221"/>
      <c r="F31" s="1221"/>
      <c r="G31" s="1916">
        <f t="shared" si="0"/>
        <v>0</v>
      </c>
      <c r="H31" s="1222">
        <f t="shared" si="1"/>
        <v>0</v>
      </c>
      <c r="I31" s="1223">
        <f t="shared" si="2"/>
        <v>0</v>
      </c>
      <c r="J31" s="1232"/>
      <c r="K31" s="2025"/>
      <c r="L31" s="2025"/>
      <c r="M31" s="2959"/>
      <c r="N31" s="2960"/>
      <c r="O31" s="2960"/>
      <c r="P31" s="2961"/>
      <c r="Q31" s="1228"/>
      <c r="R31" s="1228"/>
      <c r="S31" s="1229" t="str">
        <f t="shared" si="3"/>
        <v/>
      </c>
      <c r="T31" s="1229" t="str">
        <f t="shared" si="4"/>
        <v/>
      </c>
      <c r="U31" s="1229">
        <f t="shared" si="5"/>
        <v>0</v>
      </c>
      <c r="V31" s="1229">
        <f t="shared" si="6"/>
        <v>0</v>
      </c>
      <c r="W31" s="1230">
        <f t="shared" si="7"/>
        <v>0</v>
      </c>
      <c r="X31" s="1230"/>
      <c r="Y31" s="1230"/>
      <c r="Z31" s="1230"/>
      <c r="AA31" s="1230"/>
    </row>
    <row r="32" spans="2:27" s="1231" customFormat="1" x14ac:dyDescent="0.2">
      <c r="B32" s="1218" t="s">
        <v>801</v>
      </c>
      <c r="C32" s="1219"/>
      <c r="D32" s="1220"/>
      <c r="E32" s="1221"/>
      <c r="F32" s="1221"/>
      <c r="G32" s="1916">
        <f t="shared" si="0"/>
        <v>0</v>
      </c>
      <c r="H32" s="1222">
        <f t="shared" si="1"/>
        <v>0</v>
      </c>
      <c r="I32" s="1223">
        <f t="shared" si="2"/>
        <v>0</v>
      </c>
      <c r="J32" s="1232"/>
      <c r="K32" s="2025"/>
      <c r="L32" s="2025"/>
      <c r="M32" s="2959"/>
      <c r="N32" s="2960"/>
      <c r="O32" s="2960"/>
      <c r="P32" s="2961"/>
      <c r="Q32" s="1228"/>
      <c r="R32" s="1228"/>
      <c r="S32" s="1229" t="str">
        <f t="shared" si="3"/>
        <v/>
      </c>
      <c r="T32" s="1229" t="str">
        <f t="shared" si="4"/>
        <v/>
      </c>
      <c r="U32" s="1229">
        <f t="shared" si="5"/>
        <v>0</v>
      </c>
      <c r="V32" s="1229">
        <f t="shared" si="6"/>
        <v>0</v>
      </c>
      <c r="W32" s="1230">
        <f t="shared" si="7"/>
        <v>0</v>
      </c>
      <c r="X32" s="1230"/>
      <c r="Y32" s="1230"/>
      <c r="Z32" s="1230"/>
      <c r="AA32" s="1230"/>
    </row>
    <row r="33" spans="2:27" s="1231" customFormat="1" x14ac:dyDescent="0.2">
      <c r="B33" s="1218" t="s">
        <v>802</v>
      </c>
      <c r="C33" s="1219"/>
      <c r="D33" s="1220"/>
      <c r="E33" s="1221"/>
      <c r="F33" s="1221"/>
      <c r="G33" s="1916">
        <f t="shared" si="0"/>
        <v>0</v>
      </c>
      <c r="H33" s="1222">
        <f t="shared" si="1"/>
        <v>0</v>
      </c>
      <c r="I33" s="1223">
        <f t="shared" si="2"/>
        <v>0</v>
      </c>
      <c r="J33" s="1232"/>
      <c r="K33" s="2025"/>
      <c r="L33" s="2025"/>
      <c r="M33" s="2959"/>
      <c r="N33" s="2960"/>
      <c r="O33" s="2960"/>
      <c r="P33" s="2961"/>
      <c r="Q33" s="1228"/>
      <c r="R33" s="1228"/>
      <c r="S33" s="1229" t="str">
        <f t="shared" si="3"/>
        <v/>
      </c>
      <c r="T33" s="1229" t="str">
        <f t="shared" si="4"/>
        <v/>
      </c>
      <c r="U33" s="1229">
        <f t="shared" si="5"/>
        <v>0</v>
      </c>
      <c r="V33" s="1229">
        <f t="shared" si="6"/>
        <v>0</v>
      </c>
      <c r="W33" s="1230">
        <f t="shared" si="7"/>
        <v>0</v>
      </c>
      <c r="X33" s="1230"/>
      <c r="Y33" s="1230"/>
      <c r="Z33" s="1230"/>
      <c r="AA33" s="1230"/>
    </row>
    <row r="34" spans="2:27" s="1231" customFormat="1" x14ac:dyDescent="0.2">
      <c r="B34" s="1218" t="s">
        <v>803</v>
      </c>
      <c r="C34" s="1219"/>
      <c r="D34" s="1220"/>
      <c r="E34" s="1221"/>
      <c r="F34" s="1221"/>
      <c r="G34" s="1916">
        <f t="shared" si="0"/>
        <v>0</v>
      </c>
      <c r="H34" s="1222">
        <f t="shared" si="1"/>
        <v>0</v>
      </c>
      <c r="I34" s="1223">
        <f t="shared" si="2"/>
        <v>0</v>
      </c>
      <c r="J34" s="1232"/>
      <c r="K34" s="2025"/>
      <c r="L34" s="2025"/>
      <c r="M34" s="2959"/>
      <c r="N34" s="2960"/>
      <c r="O34" s="2960"/>
      <c r="P34" s="2961"/>
      <c r="Q34" s="1228"/>
      <c r="R34" s="1228"/>
      <c r="S34" s="1229" t="str">
        <f t="shared" si="3"/>
        <v/>
      </c>
      <c r="T34" s="1229" t="str">
        <f t="shared" si="4"/>
        <v/>
      </c>
      <c r="U34" s="1229">
        <f t="shared" si="5"/>
        <v>0</v>
      </c>
      <c r="V34" s="1229">
        <f t="shared" si="6"/>
        <v>0</v>
      </c>
      <c r="W34" s="1230">
        <f t="shared" si="7"/>
        <v>0</v>
      </c>
      <c r="X34" s="1230"/>
      <c r="Y34" s="1230"/>
      <c r="Z34" s="1230"/>
      <c r="AA34" s="1230"/>
    </row>
    <row r="35" spans="2:27" s="1231" customFormat="1" x14ac:dyDescent="0.2">
      <c r="B35" s="1218" t="s">
        <v>804</v>
      </c>
      <c r="C35" s="1219"/>
      <c r="D35" s="1220"/>
      <c r="E35" s="1221"/>
      <c r="F35" s="1221"/>
      <c r="G35" s="1916">
        <f t="shared" si="0"/>
        <v>0</v>
      </c>
      <c r="H35" s="1222">
        <f t="shared" si="1"/>
        <v>0</v>
      </c>
      <c r="I35" s="1223">
        <f>IF(W35&gt;35,35,W35)</f>
        <v>0</v>
      </c>
      <c r="J35" s="1232"/>
      <c r="K35" s="2025"/>
      <c r="L35" s="2025"/>
      <c r="M35" s="2959"/>
      <c r="N35" s="2960"/>
      <c r="O35" s="2960"/>
      <c r="P35" s="2961"/>
      <c r="Q35" s="1228"/>
      <c r="R35" s="1228"/>
      <c r="S35" s="1229" t="str">
        <f t="shared" si="3"/>
        <v/>
      </c>
      <c r="T35" s="1229" t="str">
        <f t="shared" si="4"/>
        <v/>
      </c>
      <c r="U35" s="1229">
        <f t="shared" si="5"/>
        <v>0</v>
      </c>
      <c r="V35" s="1229">
        <f t="shared" si="6"/>
        <v>0</v>
      </c>
      <c r="W35" s="1230">
        <f t="shared" si="7"/>
        <v>0</v>
      </c>
      <c r="X35" s="1230"/>
      <c r="Y35" s="1230"/>
      <c r="Z35" s="1230"/>
      <c r="AA35" s="1230"/>
    </row>
    <row r="36" spans="2:27" s="1231" customFormat="1" x14ac:dyDescent="0.2">
      <c r="B36" s="1218" t="s">
        <v>805</v>
      </c>
      <c r="C36" s="1219"/>
      <c r="D36" s="1220"/>
      <c r="E36" s="1221"/>
      <c r="F36" s="1221"/>
      <c r="G36" s="1916">
        <f t="shared" si="0"/>
        <v>0</v>
      </c>
      <c r="H36" s="1222">
        <f t="shared" si="1"/>
        <v>0</v>
      </c>
      <c r="I36" s="1223">
        <f>IF(W36&gt;35,35,W36)</f>
        <v>0</v>
      </c>
      <c r="J36" s="1232"/>
      <c r="K36" s="2025"/>
      <c r="L36" s="2025"/>
      <c r="M36" s="2959"/>
      <c r="N36" s="2960"/>
      <c r="O36" s="2960"/>
      <c r="P36" s="2961"/>
      <c r="Q36" s="1228"/>
      <c r="R36" s="1228"/>
      <c r="S36" s="1229" t="str">
        <f t="shared" si="3"/>
        <v/>
      </c>
      <c r="T36" s="1229" t="str">
        <f t="shared" si="4"/>
        <v/>
      </c>
      <c r="U36" s="1229">
        <f t="shared" si="5"/>
        <v>0</v>
      </c>
      <c r="V36" s="1229">
        <f t="shared" si="6"/>
        <v>0</v>
      </c>
      <c r="W36" s="1230">
        <f t="shared" si="7"/>
        <v>0</v>
      </c>
      <c r="X36" s="1230"/>
      <c r="Y36" s="1230"/>
      <c r="Z36" s="1230"/>
      <c r="AA36" s="1230"/>
    </row>
    <row r="37" spans="2:27" s="1217" customFormat="1" x14ac:dyDescent="0.2">
      <c r="B37" s="1233"/>
      <c r="C37" s="1234"/>
      <c r="D37" s="1235"/>
      <c r="E37" s="1235"/>
      <c r="F37" s="1236" t="s">
        <v>456</v>
      </c>
      <c r="G37" s="1237"/>
      <c r="H37" s="1238">
        <f>SUM(H22:H36)</f>
        <v>475</v>
      </c>
      <c r="I37" s="1239">
        <f>SUM(I22:I36)</f>
        <v>31.666666666666664</v>
      </c>
      <c r="J37" s="1240"/>
      <c r="K37" s="1238"/>
      <c r="L37" s="1241"/>
      <c r="M37" s="1242">
        <f>SUM(U22:U36)</f>
        <v>3</v>
      </c>
      <c r="N37" s="1649"/>
      <c r="O37" s="1243"/>
      <c r="P37" s="1244"/>
      <c r="Q37" s="1245"/>
      <c r="R37" s="1245"/>
      <c r="S37" s="1229"/>
      <c r="T37" s="1229"/>
      <c r="U37" s="1229"/>
      <c r="V37" s="1197"/>
      <c r="W37" s="1216"/>
      <c r="X37" s="1216"/>
      <c r="Y37" s="1216"/>
      <c r="Z37" s="1216"/>
      <c r="AA37" s="1216"/>
    </row>
    <row r="38" spans="2:27" s="1198" customFormat="1" ht="12.75" customHeight="1" x14ac:dyDescent="0.2">
      <c r="B38" s="1188"/>
      <c r="C38" s="1189" t="s">
        <v>751</v>
      </c>
      <c r="D38" s="2962" t="s">
        <v>1239</v>
      </c>
      <c r="E38" s="1189" t="s">
        <v>784</v>
      </c>
      <c r="F38" s="1190" t="s">
        <v>752</v>
      </c>
      <c r="G38" s="1191" t="s">
        <v>639</v>
      </c>
      <c r="H38" s="1191" t="s">
        <v>639</v>
      </c>
      <c r="I38" s="1192" t="s">
        <v>639</v>
      </c>
      <c r="J38" s="1188" t="s">
        <v>785</v>
      </c>
      <c r="K38" s="1190" t="s">
        <v>786</v>
      </c>
      <c r="L38" s="1190" t="s">
        <v>787</v>
      </c>
      <c r="M38" s="2967" t="s">
        <v>788</v>
      </c>
      <c r="N38" s="2968"/>
      <c r="O38" s="2968"/>
      <c r="P38" s="2969"/>
      <c r="Q38" s="1195"/>
      <c r="R38" s="1195"/>
      <c r="S38" s="1229"/>
      <c r="T38" s="1229"/>
      <c r="U38" s="1229"/>
      <c r="V38" s="1197"/>
      <c r="W38" s="1196"/>
      <c r="X38" s="1196"/>
      <c r="Y38" s="1196"/>
      <c r="Z38" s="1196"/>
      <c r="AA38" s="1196"/>
    </row>
    <row r="39" spans="2:27" s="1209" customFormat="1" x14ac:dyDescent="0.2">
      <c r="B39" s="1199"/>
      <c r="C39" s="1200"/>
      <c r="D39" s="2963"/>
      <c r="E39" s="1201"/>
      <c r="F39" s="1201" t="s">
        <v>754</v>
      </c>
      <c r="G39" s="1202" t="s">
        <v>789</v>
      </c>
      <c r="H39" s="1202" t="s">
        <v>641</v>
      </c>
      <c r="I39" s="1203" t="s">
        <v>510</v>
      </c>
      <c r="J39" s="1246" t="s">
        <v>790</v>
      </c>
      <c r="K39" s="1247" t="s">
        <v>1245</v>
      </c>
      <c r="L39" s="1247" t="s">
        <v>1245</v>
      </c>
      <c r="M39" s="2976"/>
      <c r="N39" s="2977"/>
      <c r="O39" s="2977"/>
      <c r="P39" s="2978"/>
      <c r="Q39" s="1206"/>
      <c r="R39" s="1206"/>
      <c r="S39" s="1229"/>
      <c r="T39" s="1229"/>
      <c r="U39" s="1229"/>
      <c r="V39" s="1208"/>
      <c r="W39" s="1207"/>
      <c r="X39" s="1207"/>
      <c r="Y39" s="1207"/>
      <c r="Z39" s="1207"/>
      <c r="AA39" s="1207"/>
    </row>
    <row r="40" spans="2:27" s="1217" customFormat="1" x14ac:dyDescent="0.2">
      <c r="B40" s="1248"/>
      <c r="C40" s="1249" t="s">
        <v>806</v>
      </c>
      <c r="D40" s="1250"/>
      <c r="E40" s="1250"/>
      <c r="F40" s="1250"/>
      <c r="G40" s="1213"/>
      <c r="H40" s="1251"/>
      <c r="I40" s="1252"/>
      <c r="J40" s="2973" t="s">
        <v>897</v>
      </c>
      <c r="K40" s="2974"/>
      <c r="L40" s="2974"/>
      <c r="M40" s="2974"/>
      <c r="N40" s="2974"/>
      <c r="O40" s="2974"/>
      <c r="P40" s="2975"/>
      <c r="Q40" s="1253"/>
      <c r="R40" s="1253"/>
      <c r="S40" s="1229"/>
      <c r="T40" s="1229"/>
      <c r="U40" s="1229"/>
      <c r="V40" s="1197"/>
      <c r="W40" s="1216"/>
      <c r="X40" s="1216"/>
      <c r="Y40" s="1216"/>
      <c r="Z40" s="1216"/>
      <c r="AA40" s="1216"/>
    </row>
    <row r="41" spans="2:27" s="1231" customFormat="1" x14ac:dyDescent="0.2">
      <c r="B41" s="1218" t="s">
        <v>791</v>
      </c>
      <c r="C41" s="1219"/>
      <c r="D41" s="1220"/>
      <c r="E41" s="1221"/>
      <c r="F41" s="1221"/>
      <c r="G41" s="1222">
        <f>H41*2</f>
        <v>0</v>
      </c>
      <c r="H41" s="1222">
        <f>I41*15</f>
        <v>0</v>
      </c>
      <c r="I41" s="1223">
        <f>IF(W41&gt;35,35,W41)</f>
        <v>0</v>
      </c>
      <c r="J41" s="1254"/>
      <c r="K41" s="2024"/>
      <c r="L41" s="2027"/>
      <c r="M41" s="2979"/>
      <c r="N41" s="2980"/>
      <c r="O41" s="2980"/>
      <c r="P41" s="2981"/>
      <c r="Q41" s="1255"/>
      <c r="R41" s="1255"/>
      <c r="S41" s="1229" t="str">
        <f t="shared" si="3"/>
        <v/>
      </c>
      <c r="T41" s="1229" t="str">
        <f t="shared" si="4"/>
        <v/>
      </c>
      <c r="U41" s="1229">
        <f t="shared" si="5"/>
        <v>0</v>
      </c>
      <c r="V41" s="1229">
        <f>IF(OR(D41="",D41=0,E41="",E41=0,F41="",F41=0),0,D41*(F41/100))</f>
        <v>0</v>
      </c>
      <c r="W41" s="1230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1230"/>
      <c r="Y41" s="1230"/>
      <c r="Z41" s="1230"/>
      <c r="AA41" s="1230"/>
    </row>
    <row r="42" spans="2:27" s="1231" customFormat="1" x14ac:dyDescent="0.2">
      <c r="B42" s="1218" t="s">
        <v>792</v>
      </c>
      <c r="C42" s="1219"/>
      <c r="D42" s="1220"/>
      <c r="E42" s="1221"/>
      <c r="F42" s="1221"/>
      <c r="G42" s="1222">
        <f t="shared" ref="G42:G50" si="8">H42*2</f>
        <v>0</v>
      </c>
      <c r="H42" s="1222">
        <f t="shared" ref="H42:H50" si="9">I42*15</f>
        <v>0</v>
      </c>
      <c r="I42" s="1223">
        <f t="shared" ref="I42:I49" si="10">IF(W42&gt;35,35,W42)</f>
        <v>0</v>
      </c>
      <c r="J42" s="1256"/>
      <c r="K42" s="2025"/>
      <c r="L42" s="2028"/>
      <c r="M42" s="2959"/>
      <c r="N42" s="2960"/>
      <c r="O42" s="2960"/>
      <c r="P42" s="2961"/>
      <c r="Q42" s="1255"/>
      <c r="R42" s="1255"/>
      <c r="S42" s="1229" t="str">
        <f t="shared" si="3"/>
        <v/>
      </c>
      <c r="T42" s="1229" t="str">
        <f t="shared" si="4"/>
        <v/>
      </c>
      <c r="U42" s="1229">
        <f t="shared" si="5"/>
        <v>0</v>
      </c>
      <c r="V42" s="1229">
        <f t="shared" ref="V42:V49" si="11">IF(OR(D42="",D42=0,E42="",E42=0,F42="",F42=0),0,D42*(F42/100))</f>
        <v>0</v>
      </c>
      <c r="W42" s="1230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1230"/>
      <c r="Y42" s="1230"/>
      <c r="Z42" s="1230"/>
      <c r="AA42" s="1230"/>
    </row>
    <row r="43" spans="2:27" s="1231" customFormat="1" x14ac:dyDescent="0.2">
      <c r="B43" s="1218" t="s">
        <v>793</v>
      </c>
      <c r="C43" s="1219"/>
      <c r="D43" s="1220"/>
      <c r="E43" s="1221"/>
      <c r="F43" s="1221"/>
      <c r="G43" s="1222">
        <f t="shared" si="8"/>
        <v>0</v>
      </c>
      <c r="H43" s="1222">
        <f t="shared" si="9"/>
        <v>0</v>
      </c>
      <c r="I43" s="1223">
        <f t="shared" si="10"/>
        <v>0</v>
      </c>
      <c r="J43" s="1256"/>
      <c r="K43" s="2025"/>
      <c r="L43" s="2028"/>
      <c r="M43" s="2959"/>
      <c r="N43" s="2960"/>
      <c r="O43" s="2960"/>
      <c r="P43" s="2961"/>
      <c r="Q43" s="1255"/>
      <c r="R43" s="1255"/>
      <c r="S43" s="1229" t="str">
        <f t="shared" si="3"/>
        <v/>
      </c>
      <c r="T43" s="1229" t="str">
        <f t="shared" si="4"/>
        <v/>
      </c>
      <c r="U43" s="1229">
        <f t="shared" si="5"/>
        <v>0</v>
      </c>
      <c r="V43" s="1229">
        <f t="shared" si="11"/>
        <v>0</v>
      </c>
      <c r="W43" s="1230">
        <f t="shared" si="12"/>
        <v>0</v>
      </c>
      <c r="X43" s="1230"/>
      <c r="Y43" s="1230"/>
      <c r="Z43" s="1230"/>
      <c r="AA43" s="1230"/>
    </row>
    <row r="44" spans="2:27" s="1231" customFormat="1" x14ac:dyDescent="0.2">
      <c r="B44" s="1218" t="s">
        <v>794</v>
      </c>
      <c r="C44" s="1219"/>
      <c r="D44" s="1220"/>
      <c r="E44" s="1221"/>
      <c r="F44" s="1221"/>
      <c r="G44" s="1222">
        <f t="shared" si="8"/>
        <v>0</v>
      </c>
      <c r="H44" s="1222">
        <f t="shared" si="9"/>
        <v>0</v>
      </c>
      <c r="I44" s="1223">
        <f t="shared" si="10"/>
        <v>0</v>
      </c>
      <c r="J44" s="1256"/>
      <c r="K44" s="2025"/>
      <c r="L44" s="2028"/>
      <c r="M44" s="2959"/>
      <c r="N44" s="2960"/>
      <c r="O44" s="2960"/>
      <c r="P44" s="2961"/>
      <c r="Q44" s="1255"/>
      <c r="R44" s="1255"/>
      <c r="S44" s="1229" t="str">
        <f t="shared" si="3"/>
        <v/>
      </c>
      <c r="T44" s="1229" t="str">
        <f t="shared" si="4"/>
        <v/>
      </c>
      <c r="U44" s="1229">
        <f t="shared" si="5"/>
        <v>0</v>
      </c>
      <c r="V44" s="1229">
        <f t="shared" si="11"/>
        <v>0</v>
      </c>
      <c r="W44" s="1230">
        <f t="shared" si="12"/>
        <v>0</v>
      </c>
      <c r="X44" s="1230"/>
      <c r="Y44" s="1230"/>
      <c r="Z44" s="1230"/>
      <c r="AA44" s="1230"/>
    </row>
    <row r="45" spans="2:27" s="1231" customFormat="1" x14ac:dyDescent="0.2">
      <c r="B45" s="1218" t="s">
        <v>795</v>
      </c>
      <c r="C45" s="1219"/>
      <c r="D45" s="1220"/>
      <c r="E45" s="1221"/>
      <c r="F45" s="1221"/>
      <c r="G45" s="1222">
        <f t="shared" si="8"/>
        <v>0</v>
      </c>
      <c r="H45" s="1222">
        <f t="shared" si="9"/>
        <v>0</v>
      </c>
      <c r="I45" s="1223">
        <f t="shared" si="10"/>
        <v>0</v>
      </c>
      <c r="J45" s="1256"/>
      <c r="K45" s="2025"/>
      <c r="L45" s="2028"/>
      <c r="M45" s="2959"/>
      <c r="N45" s="2960"/>
      <c r="O45" s="2960"/>
      <c r="P45" s="2961"/>
      <c r="Q45" s="1255"/>
      <c r="R45" s="1255"/>
      <c r="S45" s="1229" t="str">
        <f t="shared" si="3"/>
        <v/>
      </c>
      <c r="T45" s="1229" t="str">
        <f t="shared" si="4"/>
        <v/>
      </c>
      <c r="U45" s="1229">
        <f t="shared" si="5"/>
        <v>0</v>
      </c>
      <c r="V45" s="1229">
        <f t="shared" si="11"/>
        <v>0</v>
      </c>
      <c r="W45" s="1230">
        <f t="shared" si="12"/>
        <v>0</v>
      </c>
      <c r="X45" s="1230"/>
      <c r="Y45" s="1230"/>
      <c r="Z45" s="1230"/>
      <c r="AA45" s="1230"/>
    </row>
    <row r="46" spans="2:27" s="1231" customFormat="1" x14ac:dyDescent="0.2">
      <c r="B46" s="1218" t="s">
        <v>796</v>
      </c>
      <c r="C46" s="1219"/>
      <c r="D46" s="1220"/>
      <c r="E46" s="1221"/>
      <c r="F46" s="1221"/>
      <c r="G46" s="1222">
        <f t="shared" si="8"/>
        <v>0</v>
      </c>
      <c r="H46" s="1222">
        <f t="shared" si="9"/>
        <v>0</v>
      </c>
      <c r="I46" s="1223">
        <f t="shared" si="10"/>
        <v>0</v>
      </c>
      <c r="J46" s="1256"/>
      <c r="K46" s="2025"/>
      <c r="L46" s="2028"/>
      <c r="M46" s="2959"/>
      <c r="N46" s="2960"/>
      <c r="O46" s="2960"/>
      <c r="P46" s="2961"/>
      <c r="Q46" s="1255"/>
      <c r="R46" s="1255"/>
      <c r="S46" s="1229" t="str">
        <f t="shared" si="3"/>
        <v/>
      </c>
      <c r="T46" s="1229" t="str">
        <f t="shared" si="4"/>
        <v/>
      </c>
      <c r="U46" s="1229">
        <f t="shared" si="5"/>
        <v>0</v>
      </c>
      <c r="V46" s="1229">
        <f t="shared" si="11"/>
        <v>0</v>
      </c>
      <c r="W46" s="1230">
        <f t="shared" si="12"/>
        <v>0</v>
      </c>
      <c r="X46" s="1230"/>
      <c r="Y46" s="1230"/>
      <c r="Z46" s="1230"/>
      <c r="AA46" s="1230"/>
    </row>
    <row r="47" spans="2:27" s="1231" customFormat="1" x14ac:dyDescent="0.2">
      <c r="B47" s="1218" t="s">
        <v>797</v>
      </c>
      <c r="C47" s="1219"/>
      <c r="D47" s="1220"/>
      <c r="E47" s="1221"/>
      <c r="F47" s="1221"/>
      <c r="G47" s="1222">
        <f t="shared" si="8"/>
        <v>0</v>
      </c>
      <c r="H47" s="1222">
        <f t="shared" si="9"/>
        <v>0</v>
      </c>
      <c r="I47" s="1223">
        <f t="shared" si="10"/>
        <v>0</v>
      </c>
      <c r="J47" s="1256"/>
      <c r="K47" s="2025"/>
      <c r="L47" s="2028"/>
      <c r="M47" s="2959"/>
      <c r="N47" s="2960"/>
      <c r="O47" s="2960"/>
      <c r="P47" s="2961"/>
      <c r="Q47" s="1255"/>
      <c r="R47" s="1255"/>
      <c r="S47" s="1229" t="str">
        <f t="shared" si="3"/>
        <v/>
      </c>
      <c r="T47" s="1229" t="str">
        <f t="shared" si="4"/>
        <v/>
      </c>
      <c r="U47" s="1229">
        <f t="shared" si="5"/>
        <v>0</v>
      </c>
      <c r="V47" s="1229">
        <f t="shared" si="11"/>
        <v>0</v>
      </c>
      <c r="W47" s="1230">
        <f t="shared" si="12"/>
        <v>0</v>
      </c>
      <c r="X47" s="1230"/>
      <c r="Y47" s="1230"/>
      <c r="Z47" s="1230"/>
      <c r="AA47" s="1230"/>
    </row>
    <row r="48" spans="2:27" s="1231" customFormat="1" x14ac:dyDescent="0.2">
      <c r="B48" s="1218" t="s">
        <v>798</v>
      </c>
      <c r="C48" s="1219"/>
      <c r="D48" s="1220"/>
      <c r="E48" s="1221"/>
      <c r="F48" s="1221"/>
      <c r="G48" s="1222">
        <f t="shared" si="8"/>
        <v>0</v>
      </c>
      <c r="H48" s="1222">
        <f t="shared" si="9"/>
        <v>0</v>
      </c>
      <c r="I48" s="1223">
        <f t="shared" si="10"/>
        <v>0</v>
      </c>
      <c r="J48" s="1256"/>
      <c r="K48" s="2025"/>
      <c r="L48" s="2028"/>
      <c r="M48" s="2959"/>
      <c r="N48" s="2960"/>
      <c r="O48" s="2960"/>
      <c r="P48" s="2961"/>
      <c r="Q48" s="1255"/>
      <c r="R48" s="1255"/>
      <c r="S48" s="1229" t="str">
        <f t="shared" si="3"/>
        <v/>
      </c>
      <c r="T48" s="1229" t="str">
        <f t="shared" si="4"/>
        <v/>
      </c>
      <c r="U48" s="1229">
        <f t="shared" si="5"/>
        <v>0</v>
      </c>
      <c r="V48" s="1229">
        <f t="shared" si="11"/>
        <v>0</v>
      </c>
      <c r="W48" s="1230">
        <f t="shared" si="12"/>
        <v>0</v>
      </c>
      <c r="X48" s="1230"/>
      <c r="Y48" s="1230"/>
      <c r="Z48" s="1230"/>
      <c r="AA48" s="1230"/>
    </row>
    <row r="49" spans="2:27" s="1231" customFormat="1" x14ac:dyDescent="0.2">
      <c r="B49" s="1218" t="s">
        <v>799</v>
      </c>
      <c r="C49" s="1219"/>
      <c r="D49" s="1220"/>
      <c r="E49" s="1221"/>
      <c r="F49" s="1221"/>
      <c r="G49" s="1222">
        <f t="shared" si="8"/>
        <v>0</v>
      </c>
      <c r="H49" s="1222">
        <f t="shared" si="9"/>
        <v>0</v>
      </c>
      <c r="I49" s="1223">
        <f t="shared" si="10"/>
        <v>0</v>
      </c>
      <c r="J49" s="1256"/>
      <c r="K49" s="2025"/>
      <c r="L49" s="2028"/>
      <c r="M49" s="2959"/>
      <c r="N49" s="2960"/>
      <c r="O49" s="2960"/>
      <c r="P49" s="2961"/>
      <c r="Q49" s="1255"/>
      <c r="R49" s="1255"/>
      <c r="S49" s="1229" t="str">
        <f t="shared" si="3"/>
        <v/>
      </c>
      <c r="T49" s="1229" t="str">
        <f t="shared" si="4"/>
        <v/>
      </c>
      <c r="U49" s="1229">
        <f t="shared" si="5"/>
        <v>0</v>
      </c>
      <c r="V49" s="1229">
        <f t="shared" si="11"/>
        <v>0</v>
      </c>
      <c r="W49" s="1230">
        <f t="shared" si="12"/>
        <v>0</v>
      </c>
      <c r="X49" s="1230"/>
      <c r="Y49" s="1230"/>
      <c r="Z49" s="1230"/>
      <c r="AA49" s="1230"/>
    </row>
    <row r="50" spans="2:27" s="1231" customFormat="1" x14ac:dyDescent="0.2">
      <c r="B50" s="1218" t="s">
        <v>800</v>
      </c>
      <c r="C50" s="1219"/>
      <c r="D50" s="1220"/>
      <c r="E50" s="1221"/>
      <c r="F50" s="1221"/>
      <c r="G50" s="1222">
        <f t="shared" si="8"/>
        <v>0</v>
      </c>
      <c r="H50" s="1222">
        <f t="shared" si="9"/>
        <v>0</v>
      </c>
      <c r="I50" s="1223">
        <f>IF(W50&gt;35,35,W50)</f>
        <v>0</v>
      </c>
      <c r="J50" s="1256"/>
      <c r="K50" s="2025"/>
      <c r="L50" s="2028"/>
      <c r="M50" s="2959"/>
      <c r="N50" s="2960"/>
      <c r="O50" s="2960"/>
      <c r="P50" s="2961"/>
      <c r="Q50" s="1255"/>
      <c r="R50" s="1255"/>
      <c r="S50" s="1229" t="str">
        <f t="shared" si="3"/>
        <v/>
      </c>
      <c r="T50" s="1229" t="str">
        <f t="shared" si="4"/>
        <v/>
      </c>
      <c r="U50" s="1229">
        <f t="shared" si="5"/>
        <v>0</v>
      </c>
      <c r="V50" s="1229"/>
      <c r="W50" s="1230"/>
      <c r="X50" s="1230"/>
      <c r="Y50" s="1230"/>
      <c r="Z50" s="1230"/>
      <c r="AA50" s="1230"/>
    </row>
    <row r="51" spans="2:27" s="1217" customFormat="1" x14ac:dyDescent="0.2">
      <c r="B51" s="1257"/>
      <c r="C51" s="1258"/>
      <c r="D51" s="1259"/>
      <c r="E51" s="1259"/>
      <c r="F51" s="1260" t="s">
        <v>456</v>
      </c>
      <c r="G51" s="1261"/>
      <c r="H51" s="1262">
        <f>SUM(H41:H50)</f>
        <v>0</v>
      </c>
      <c r="I51" s="1263">
        <f>SUM(I41:I50)</f>
        <v>0</v>
      </c>
      <c r="J51" s="1264"/>
      <c r="K51" s="1265"/>
      <c r="L51" s="1265"/>
      <c r="M51" s="1266">
        <f>SUM(U41:U50)</f>
        <v>0</v>
      </c>
      <c r="N51" s="1266"/>
      <c r="O51" s="1265"/>
      <c r="P51" s="1267"/>
      <c r="Q51" s="1268"/>
      <c r="R51" s="1268"/>
      <c r="S51" s="1229"/>
      <c r="T51" s="1229"/>
      <c r="U51" s="1229"/>
      <c r="V51" s="1197"/>
      <c r="W51" s="1216"/>
      <c r="X51" s="1216"/>
      <c r="Y51" s="1216"/>
      <c r="Z51" s="1216"/>
      <c r="AA51" s="1216"/>
    </row>
    <row r="52" spans="2:27" s="1198" customFormat="1" ht="12.75" customHeight="1" x14ac:dyDescent="0.2">
      <c r="B52" s="1269"/>
      <c r="C52" s="3052" t="s">
        <v>751</v>
      </c>
      <c r="D52" s="3053"/>
      <c r="E52" s="3054"/>
      <c r="F52" s="1270" t="s">
        <v>449</v>
      </c>
      <c r="G52" s="1191" t="s">
        <v>639</v>
      </c>
      <c r="H52" s="1191" t="s">
        <v>639</v>
      </c>
      <c r="I52" s="1192" t="s">
        <v>639</v>
      </c>
      <c r="J52" s="1271" t="s">
        <v>785</v>
      </c>
      <c r="K52" s="1272" t="s">
        <v>786</v>
      </c>
      <c r="L52" s="1272" t="s">
        <v>787</v>
      </c>
      <c r="M52" s="2985" t="s">
        <v>788</v>
      </c>
      <c r="N52" s="2986"/>
      <c r="O52" s="2986"/>
      <c r="P52" s="2987"/>
      <c r="Q52" s="1195"/>
      <c r="R52" s="1195"/>
      <c r="S52" s="1229"/>
      <c r="T52" s="1229"/>
      <c r="U52" s="1229"/>
      <c r="V52" s="1197"/>
      <c r="W52" s="1196"/>
      <c r="X52" s="1196"/>
      <c r="Y52" s="1196"/>
      <c r="Z52" s="1196"/>
      <c r="AA52" s="1196"/>
    </row>
    <row r="53" spans="2:27" s="1209" customFormat="1" x14ac:dyDescent="0.2">
      <c r="B53" s="1273"/>
      <c r="C53" s="1200"/>
      <c r="D53" s="1274"/>
      <c r="E53" s="1275"/>
      <c r="F53" s="1276" t="s">
        <v>807</v>
      </c>
      <c r="G53" s="1202" t="s">
        <v>789</v>
      </c>
      <c r="H53" s="1202" t="s">
        <v>641</v>
      </c>
      <c r="I53" s="1203" t="s">
        <v>510</v>
      </c>
      <c r="J53" s="1246" t="s">
        <v>790</v>
      </c>
      <c r="K53" s="1247" t="s">
        <v>1245</v>
      </c>
      <c r="L53" s="1247" t="s">
        <v>1245</v>
      </c>
      <c r="M53" s="2976"/>
      <c r="N53" s="2977"/>
      <c r="O53" s="2977"/>
      <c r="P53" s="2978"/>
      <c r="Q53" s="1195"/>
      <c r="R53" s="1195"/>
      <c r="S53" s="1229"/>
      <c r="T53" s="1229"/>
      <c r="U53" s="1229"/>
      <c r="V53" s="1208"/>
      <c r="W53" s="1207"/>
      <c r="X53" s="1207"/>
      <c r="Y53" s="1207"/>
      <c r="Z53" s="1207"/>
      <c r="AA53" s="1207"/>
    </row>
    <row r="54" spans="2:27" s="1217" customFormat="1" x14ac:dyDescent="0.2">
      <c r="B54" s="1248"/>
      <c r="C54" s="1249" t="s">
        <v>808</v>
      </c>
      <c r="D54" s="1212"/>
      <c r="E54" s="1212"/>
      <c r="F54" s="1277"/>
      <c r="G54" s="1213"/>
      <c r="H54" s="1213"/>
      <c r="I54" s="1214"/>
      <c r="J54" s="2973" t="s">
        <v>897</v>
      </c>
      <c r="K54" s="2974"/>
      <c r="L54" s="2974"/>
      <c r="M54" s="2974"/>
      <c r="N54" s="2974"/>
      <c r="O54" s="2974"/>
      <c r="P54" s="2975"/>
      <c r="Q54" s="1253"/>
      <c r="R54" s="1253"/>
      <c r="S54" s="1229"/>
      <c r="T54" s="1229"/>
      <c r="U54" s="1229"/>
      <c r="V54" s="1197"/>
      <c r="W54" s="1216"/>
      <c r="X54" s="1216"/>
      <c r="Y54" s="1216"/>
      <c r="Z54" s="1216"/>
      <c r="AA54" s="1216"/>
    </row>
    <row r="55" spans="2:27" s="1231" customFormat="1" x14ac:dyDescent="0.2">
      <c r="B55" s="1278" t="s">
        <v>809</v>
      </c>
      <c r="C55" s="2988"/>
      <c r="D55" s="2989"/>
      <c r="E55" s="2990"/>
      <c r="F55" s="1221"/>
      <c r="G55" s="1279">
        <v>80</v>
      </c>
      <c r="H55" s="1222">
        <f>(G55*F55)/2</f>
        <v>0</v>
      </c>
      <c r="I55" s="1223">
        <f>H55/15</f>
        <v>0</v>
      </c>
      <c r="J55" s="1224"/>
      <c r="K55" s="2024"/>
      <c r="L55" s="2024"/>
      <c r="M55" s="2979"/>
      <c r="N55" s="2980"/>
      <c r="O55" s="2980"/>
      <c r="P55" s="2981"/>
      <c r="Q55" s="1255"/>
      <c r="R55" s="1255"/>
      <c r="S55" s="1229" t="str">
        <f t="shared" si="3"/>
        <v/>
      </c>
      <c r="T55" s="1229" t="str">
        <f t="shared" si="4"/>
        <v/>
      </c>
      <c r="U55" s="1229">
        <f t="shared" si="5"/>
        <v>0</v>
      </c>
      <c r="V55" s="1229"/>
      <c r="W55" s="1230"/>
      <c r="X55" s="1230"/>
      <c r="Y55" s="1230"/>
      <c r="Z55" s="1230"/>
      <c r="AA55" s="1230"/>
    </row>
    <row r="56" spans="2:27" s="1231" customFormat="1" x14ac:dyDescent="0.2">
      <c r="B56" s="1278" t="s">
        <v>810</v>
      </c>
      <c r="C56" s="2988"/>
      <c r="D56" s="2989"/>
      <c r="E56" s="2990"/>
      <c r="F56" s="1221"/>
      <c r="G56" s="1279">
        <v>80</v>
      </c>
      <c r="H56" s="1222">
        <f>(G56*F56)/2</f>
        <v>0</v>
      </c>
      <c r="I56" s="1223">
        <f>H56/15</f>
        <v>0</v>
      </c>
      <c r="J56" s="1232"/>
      <c r="K56" s="2024"/>
      <c r="L56" s="2024"/>
      <c r="M56" s="2959"/>
      <c r="N56" s="2960"/>
      <c r="O56" s="2960"/>
      <c r="P56" s="2961"/>
      <c r="Q56" s="1255"/>
      <c r="R56" s="1255"/>
      <c r="S56" s="1229" t="str">
        <f t="shared" si="3"/>
        <v/>
      </c>
      <c r="T56" s="1229" t="str">
        <f t="shared" si="4"/>
        <v/>
      </c>
      <c r="U56" s="1229">
        <f t="shared" si="5"/>
        <v>0</v>
      </c>
      <c r="V56" s="1229"/>
      <c r="W56" s="1230"/>
      <c r="X56" s="1230"/>
      <c r="Y56" s="1230"/>
      <c r="Z56" s="1230"/>
      <c r="AA56" s="1230"/>
    </row>
    <row r="57" spans="2:27" s="1231" customFormat="1" x14ac:dyDescent="0.2">
      <c r="B57" s="1278" t="s">
        <v>811</v>
      </c>
      <c r="C57" s="2988"/>
      <c r="D57" s="2989"/>
      <c r="E57" s="2990"/>
      <c r="F57" s="1221"/>
      <c r="G57" s="1279">
        <v>80</v>
      </c>
      <c r="H57" s="1222">
        <f>(G57*F57)/2</f>
        <v>0</v>
      </c>
      <c r="I57" s="1223">
        <f>H57/15</f>
        <v>0</v>
      </c>
      <c r="J57" s="1232"/>
      <c r="K57" s="2024"/>
      <c r="L57" s="2024"/>
      <c r="M57" s="2959"/>
      <c r="N57" s="2960"/>
      <c r="O57" s="2960"/>
      <c r="P57" s="2961"/>
      <c r="Q57" s="1255"/>
      <c r="R57" s="1255"/>
      <c r="S57" s="1229" t="str">
        <f t="shared" si="3"/>
        <v/>
      </c>
      <c r="T57" s="1229" t="str">
        <f t="shared" si="4"/>
        <v/>
      </c>
      <c r="U57" s="1229">
        <f t="shared" si="5"/>
        <v>0</v>
      </c>
      <c r="V57" s="1229"/>
      <c r="W57" s="1230"/>
      <c r="X57" s="1230"/>
      <c r="Y57" s="1230"/>
      <c r="Z57" s="1230"/>
      <c r="AA57" s="1230"/>
    </row>
    <row r="58" spans="2:27" s="1231" customFormat="1" x14ac:dyDescent="0.2">
      <c r="B58" s="1278" t="s">
        <v>812</v>
      </c>
      <c r="C58" s="2988"/>
      <c r="D58" s="2989"/>
      <c r="E58" s="2990"/>
      <c r="F58" s="1221"/>
      <c r="G58" s="1279">
        <v>80</v>
      </c>
      <c r="H58" s="1222">
        <f>(G58*F58)/2</f>
        <v>0</v>
      </c>
      <c r="I58" s="1223">
        <f>H58/15</f>
        <v>0</v>
      </c>
      <c r="J58" s="1232"/>
      <c r="K58" s="2024"/>
      <c r="L58" s="2024"/>
      <c r="M58" s="2959"/>
      <c r="N58" s="2960"/>
      <c r="O58" s="2960"/>
      <c r="P58" s="2961"/>
      <c r="Q58" s="1255"/>
      <c r="R58" s="1255"/>
      <c r="S58" s="1229" t="str">
        <f t="shared" si="3"/>
        <v/>
      </c>
      <c r="T58" s="1229" t="str">
        <f t="shared" si="4"/>
        <v/>
      </c>
      <c r="U58" s="1229">
        <f t="shared" si="5"/>
        <v>0</v>
      </c>
      <c r="V58" s="1229"/>
      <c r="W58" s="1230"/>
      <c r="X58" s="1230"/>
      <c r="Y58" s="1230"/>
      <c r="Z58" s="1230"/>
      <c r="AA58" s="1230"/>
    </row>
    <row r="59" spans="2:27" s="1231" customFormat="1" x14ac:dyDescent="0.2">
      <c r="B59" s="1278" t="s">
        <v>813</v>
      </c>
      <c r="C59" s="2988"/>
      <c r="D59" s="2989"/>
      <c r="E59" s="2990"/>
      <c r="F59" s="1221"/>
      <c r="G59" s="1279">
        <v>80</v>
      </c>
      <c r="H59" s="1222">
        <f>(G59*F59)/2</f>
        <v>0</v>
      </c>
      <c r="I59" s="1223">
        <f>H59/15</f>
        <v>0</v>
      </c>
      <c r="J59" s="1232"/>
      <c r="K59" s="2024"/>
      <c r="L59" s="2024"/>
      <c r="M59" s="2959"/>
      <c r="N59" s="2960"/>
      <c r="O59" s="2960"/>
      <c r="P59" s="2961"/>
      <c r="Q59" s="1255"/>
      <c r="R59" s="1255"/>
      <c r="S59" s="1229" t="str">
        <f t="shared" si="3"/>
        <v/>
      </c>
      <c r="T59" s="1229" t="str">
        <f t="shared" si="4"/>
        <v/>
      </c>
      <c r="U59" s="1229">
        <f t="shared" si="5"/>
        <v>0</v>
      </c>
      <c r="V59" s="1229"/>
      <c r="W59" s="1230"/>
      <c r="X59" s="1230"/>
      <c r="Y59" s="1230"/>
      <c r="Z59" s="1230"/>
      <c r="AA59" s="1230"/>
    </row>
    <row r="60" spans="2:27" s="1217" customFormat="1" x14ac:dyDescent="0.2">
      <c r="B60" s="1257"/>
      <c r="C60" s="1258"/>
      <c r="D60" s="1280"/>
      <c r="E60" s="1280"/>
      <c r="F60" s="1260" t="s">
        <v>456</v>
      </c>
      <c r="G60" s="1281"/>
      <c r="H60" s="1282">
        <f>SUM(H55:H59)</f>
        <v>0</v>
      </c>
      <c r="I60" s="1283">
        <f>SUM(I55:I59)</f>
        <v>0</v>
      </c>
      <c r="J60" s="1284"/>
      <c r="K60" s="1285"/>
      <c r="L60" s="1285"/>
      <c r="M60" s="1286">
        <f>SUM(U55:U59)</f>
        <v>0</v>
      </c>
      <c r="N60" s="1286"/>
      <c r="O60" s="1285"/>
      <c r="P60" s="1287"/>
      <c r="Q60" s="1245"/>
      <c r="R60" s="1245"/>
      <c r="S60" s="1229"/>
      <c r="T60" s="1216"/>
      <c r="U60" s="1216"/>
      <c r="V60" s="1197"/>
      <c r="W60" s="1216"/>
      <c r="X60" s="1216"/>
      <c r="Y60" s="1216"/>
      <c r="Z60" s="1216"/>
      <c r="AA60" s="1216"/>
    </row>
    <row r="61" spans="2:27" s="1304" customFormat="1" ht="12.75" customHeight="1" x14ac:dyDescent="0.2">
      <c r="B61" s="1297"/>
      <c r="C61" s="1298"/>
      <c r="D61" s="1298"/>
      <c r="E61" s="1298"/>
      <c r="F61" s="1298"/>
      <c r="G61" s="1299"/>
      <c r="H61" s="1300"/>
      <c r="I61" s="1300"/>
      <c r="J61" s="1300"/>
      <c r="K61" s="1300"/>
      <c r="L61" s="1300"/>
      <c r="M61" s="1300"/>
      <c r="N61" s="1300"/>
      <c r="O61" s="1300"/>
      <c r="P61" s="1301"/>
      <c r="Q61" s="1296"/>
      <c r="R61" s="1296"/>
      <c r="S61" s="1229"/>
      <c r="T61" s="1302"/>
      <c r="U61" s="1302"/>
      <c r="V61" s="1303"/>
      <c r="W61" s="1302"/>
      <c r="X61" s="1302"/>
      <c r="Y61" s="1302"/>
      <c r="Z61" s="1302"/>
      <c r="AA61" s="1302"/>
    </row>
    <row r="62" spans="2:27" s="1187" customFormat="1" ht="21" customHeight="1" x14ac:dyDescent="0.2">
      <c r="B62" s="1181" t="s">
        <v>1238</v>
      </c>
      <c r="C62" s="1182"/>
      <c r="D62" s="1183"/>
      <c r="E62" s="1183"/>
      <c r="F62" s="1183"/>
      <c r="G62" s="1305"/>
      <c r="H62" s="1305"/>
      <c r="I62" s="1859"/>
      <c r="J62" s="2964" t="s">
        <v>621</v>
      </c>
      <c r="K62" s="2965"/>
      <c r="L62" s="2965"/>
      <c r="M62" s="2965"/>
      <c r="N62" s="2965"/>
      <c r="O62" s="2965"/>
      <c r="P62" s="2966"/>
      <c r="Q62" s="1184"/>
      <c r="R62" s="1184"/>
      <c r="S62" s="1507"/>
      <c r="T62" s="1185"/>
      <c r="U62" s="1185"/>
      <c r="V62" s="1186"/>
      <c r="W62" s="1185"/>
      <c r="X62" s="1185"/>
      <c r="Y62" s="1185"/>
      <c r="Z62" s="1185"/>
      <c r="AA62" s="1185"/>
    </row>
    <row r="63" spans="2:27" s="1198" customFormat="1" ht="12.75" customHeight="1" x14ac:dyDescent="0.2">
      <c r="B63" s="1188"/>
      <c r="C63" s="1189" t="s">
        <v>751</v>
      </c>
      <c r="D63" s="2962" t="s">
        <v>1239</v>
      </c>
      <c r="E63" s="1189" t="s">
        <v>784</v>
      </c>
      <c r="F63" s="1190" t="s">
        <v>752</v>
      </c>
      <c r="G63" s="1913" t="s">
        <v>639</v>
      </c>
      <c r="H63" s="1191" t="s">
        <v>639</v>
      </c>
      <c r="I63" s="1192" t="s">
        <v>639</v>
      </c>
      <c r="J63" s="1193" t="s">
        <v>785</v>
      </c>
      <c r="K63" s="1194" t="s">
        <v>786</v>
      </c>
      <c r="L63" s="1194" t="s">
        <v>787</v>
      </c>
      <c r="M63" s="2967" t="s">
        <v>788</v>
      </c>
      <c r="N63" s="2968"/>
      <c r="O63" s="2968"/>
      <c r="P63" s="2969"/>
      <c r="Q63" s="1195"/>
      <c r="R63" s="1195"/>
      <c r="S63" s="1196"/>
      <c r="T63" s="1196"/>
      <c r="U63" s="1196"/>
      <c r="V63" s="1197"/>
      <c r="W63" s="1196"/>
      <c r="X63" s="1196"/>
      <c r="Y63" s="1196"/>
      <c r="Z63" s="1196"/>
      <c r="AA63" s="1196"/>
    </row>
    <row r="64" spans="2:27" s="1209" customFormat="1" x14ac:dyDescent="0.2">
      <c r="B64" s="1199"/>
      <c r="C64" s="1894"/>
      <c r="D64" s="2963"/>
      <c r="E64" s="1201"/>
      <c r="F64" s="1201" t="s">
        <v>754</v>
      </c>
      <c r="G64" s="1914" t="s">
        <v>789</v>
      </c>
      <c r="H64" s="1202" t="s">
        <v>641</v>
      </c>
      <c r="I64" s="1203" t="s">
        <v>510</v>
      </c>
      <c r="J64" s="1204" t="s">
        <v>790</v>
      </c>
      <c r="K64" s="1205" t="s">
        <v>1245</v>
      </c>
      <c r="L64" s="1247" t="s">
        <v>1245</v>
      </c>
      <c r="M64" s="2970"/>
      <c r="N64" s="2971"/>
      <c r="O64" s="2971"/>
      <c r="P64" s="2972"/>
      <c r="Q64" s="1206"/>
      <c r="R64" s="1206"/>
      <c r="S64" s="1518"/>
      <c r="T64" s="1518"/>
      <c r="U64" s="1207"/>
      <c r="V64" s="1208"/>
      <c r="W64" s="1207"/>
      <c r="X64" s="1207"/>
      <c r="Y64" s="1207"/>
      <c r="Z64" s="1207"/>
      <c r="AA64" s="1207"/>
    </row>
    <row r="65" spans="2:27" s="1217" customFormat="1" x14ac:dyDescent="0.2">
      <c r="B65" s="1210"/>
      <c r="C65" s="1211" t="s">
        <v>1202</v>
      </c>
      <c r="D65" s="1212"/>
      <c r="E65" s="1212"/>
      <c r="F65" s="1212"/>
      <c r="G65" s="1213"/>
      <c r="H65" s="1213"/>
      <c r="I65" s="1214"/>
      <c r="J65" s="2973" t="s">
        <v>897</v>
      </c>
      <c r="K65" s="2974"/>
      <c r="L65" s="2974"/>
      <c r="M65" s="2974"/>
      <c r="N65" s="2974"/>
      <c r="O65" s="2974"/>
      <c r="P65" s="2975"/>
      <c r="Q65" s="1215"/>
      <c r="R65" s="1215"/>
      <c r="S65" s="1519">
        <v>241336</v>
      </c>
      <c r="T65" s="1519">
        <v>241700</v>
      </c>
      <c r="U65" s="1216"/>
      <c r="V65" s="1197"/>
      <c r="W65" s="1216"/>
      <c r="X65" s="1216"/>
      <c r="Y65" s="1216"/>
      <c r="Z65" s="1216"/>
      <c r="AA65" s="1216"/>
    </row>
    <row r="66" spans="2:27" s="1231" customFormat="1" x14ac:dyDescent="0.2">
      <c r="B66" s="1218" t="s">
        <v>791</v>
      </c>
      <c r="C66" s="1858"/>
      <c r="D66" s="1220"/>
      <c r="E66" s="1221"/>
      <c r="F66" s="1221"/>
      <c r="G66" s="1916">
        <f>H66*2</f>
        <v>0</v>
      </c>
      <c r="H66" s="1222">
        <f>I66*15</f>
        <v>0</v>
      </c>
      <c r="I66" s="1223">
        <f>IF(W66&gt;35,35/2,W66/2)</f>
        <v>0</v>
      </c>
      <c r="J66" s="1224"/>
      <c r="K66" s="2024"/>
      <c r="L66" s="2024"/>
      <c r="M66" s="2959"/>
      <c r="N66" s="2960"/>
      <c r="O66" s="2960"/>
      <c r="P66" s="2961"/>
      <c r="Q66" s="1228"/>
      <c r="R66" s="1228"/>
      <c r="S66" s="1229" t="str">
        <f>IF(K66&lt;&gt;"",IF(AND(K66&lt;=$S$21),0,1),"")</f>
        <v/>
      </c>
      <c r="T66" s="1229" t="str">
        <f>IF(L66&lt;&gt;"",IF(AND(L66&gt;=$S$21,L66&lt;=$T$21),1,IF(L66&gt;$T$21,1,0)),"")</f>
        <v/>
      </c>
      <c r="U66" s="1229">
        <f>IF(AND(S66=0,T66=1),1,IF(AND(S66=1,T66=1),1,0))</f>
        <v>0</v>
      </c>
      <c r="V66" s="1229">
        <f>IF(OR(D66="",D66=0,E66="",E66=0,F66="",F66=0),0,D66*(F66/100))</f>
        <v>0</v>
      </c>
      <c r="W66" s="1230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1230"/>
      <c r="Y66" s="1230"/>
      <c r="Z66" s="1230"/>
      <c r="AA66" s="1230"/>
    </row>
    <row r="67" spans="2:27" s="1231" customFormat="1" x14ac:dyDescent="0.2">
      <c r="B67" s="1218" t="s">
        <v>792</v>
      </c>
      <c r="C67" s="1893"/>
      <c r="D67" s="1220"/>
      <c r="E67" s="1221"/>
      <c r="F67" s="1221"/>
      <c r="G67" s="1916">
        <f t="shared" ref="G67:G70" si="13">H67*2</f>
        <v>0</v>
      </c>
      <c r="H67" s="1222">
        <f t="shared" ref="H67:H70" si="14">I67*15</f>
        <v>0</v>
      </c>
      <c r="I67" s="1223">
        <f t="shared" ref="I67:I69" si="15">IF(W67&gt;35,35/2,W67/2)</f>
        <v>0</v>
      </c>
      <c r="J67" s="1232"/>
      <c r="K67" s="2025"/>
      <c r="L67" s="2025"/>
      <c r="M67" s="2959"/>
      <c r="N67" s="2960"/>
      <c r="O67" s="2960"/>
      <c r="P67" s="2961"/>
      <c r="Q67" s="1228"/>
      <c r="R67" s="1228"/>
      <c r="S67" s="1229" t="str">
        <f t="shared" ref="S67:S70" si="16">IF(K67&lt;&gt;"",IF(AND(K67&lt;=$S$21),0,1),"")</f>
        <v/>
      </c>
      <c r="T67" s="1229" t="str">
        <f t="shared" ref="T67:T70" si="17">IF(L67&lt;&gt;"",IF(AND(L67&gt;=$S$21,L67&lt;=$T$21),1,IF(L67&gt;$T$21,1,0)),"")</f>
        <v/>
      </c>
      <c r="U67" s="1229">
        <f t="shared" ref="U67:U69" si="18">IF(AND(S67=0,T67=1),1,IF(AND(S67=1,T67=1),1,0))</f>
        <v>0</v>
      </c>
      <c r="V67" s="1229">
        <f t="shared" ref="V67:V70" si="19">IF(OR(D67="",D67=0,E67="",E67=0,F67="",F67=0),0,D67*(F67/100))</f>
        <v>0</v>
      </c>
      <c r="W67" s="1230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1230"/>
      <c r="Y67" s="1230"/>
      <c r="Z67" s="1230"/>
      <c r="AA67" s="1230"/>
    </row>
    <row r="68" spans="2:27" s="1231" customFormat="1" x14ac:dyDescent="0.2">
      <c r="B68" s="1218" t="s">
        <v>793</v>
      </c>
      <c r="C68" s="1893"/>
      <c r="D68" s="1220"/>
      <c r="E68" s="1221"/>
      <c r="F68" s="1221"/>
      <c r="G68" s="1916">
        <f t="shared" si="13"/>
        <v>0</v>
      </c>
      <c r="H68" s="1222">
        <f t="shared" si="14"/>
        <v>0</v>
      </c>
      <c r="I68" s="1223">
        <f t="shared" si="15"/>
        <v>0</v>
      </c>
      <c r="J68" s="1232"/>
      <c r="K68" s="2025"/>
      <c r="L68" s="2025"/>
      <c r="M68" s="2959"/>
      <c r="N68" s="2960"/>
      <c r="O68" s="2960"/>
      <c r="P68" s="2961"/>
      <c r="Q68" s="1228"/>
      <c r="R68" s="1228"/>
      <c r="S68" s="1229" t="str">
        <f t="shared" si="16"/>
        <v/>
      </c>
      <c r="T68" s="1229" t="str">
        <f t="shared" si="17"/>
        <v/>
      </c>
      <c r="U68" s="1229">
        <f t="shared" si="18"/>
        <v>0</v>
      </c>
      <c r="V68" s="1229">
        <f t="shared" si="19"/>
        <v>0</v>
      </c>
      <c r="W68" s="1230">
        <f t="shared" si="20"/>
        <v>0</v>
      </c>
      <c r="X68" s="1230"/>
      <c r="Y68" s="1230"/>
      <c r="Z68" s="1230"/>
      <c r="AA68" s="1230"/>
    </row>
    <row r="69" spans="2:27" s="1231" customFormat="1" x14ac:dyDescent="0.2">
      <c r="B69" s="1218" t="s">
        <v>794</v>
      </c>
      <c r="C69" s="1893"/>
      <c r="D69" s="1220"/>
      <c r="E69" s="1221"/>
      <c r="F69" s="1221"/>
      <c r="G69" s="1916">
        <f t="shared" si="13"/>
        <v>0</v>
      </c>
      <c r="H69" s="1222">
        <f t="shared" si="14"/>
        <v>0</v>
      </c>
      <c r="I69" s="1223">
        <f t="shared" si="15"/>
        <v>0</v>
      </c>
      <c r="J69" s="1232"/>
      <c r="K69" s="2025"/>
      <c r="L69" s="2025"/>
      <c r="M69" s="2959"/>
      <c r="N69" s="2960"/>
      <c r="O69" s="2960"/>
      <c r="P69" s="2961"/>
      <c r="Q69" s="1228"/>
      <c r="R69" s="1228"/>
      <c r="S69" s="1229" t="str">
        <f t="shared" si="16"/>
        <v/>
      </c>
      <c r="T69" s="1229" t="str">
        <f t="shared" si="17"/>
        <v/>
      </c>
      <c r="U69" s="1229">
        <f t="shared" si="18"/>
        <v>0</v>
      </c>
      <c r="V69" s="1229">
        <f t="shared" si="19"/>
        <v>0</v>
      </c>
      <c r="W69" s="1230">
        <f t="shared" si="20"/>
        <v>0</v>
      </c>
      <c r="X69" s="1230"/>
      <c r="Y69" s="1230"/>
      <c r="Z69" s="1230"/>
      <c r="AA69" s="1230"/>
    </row>
    <row r="70" spans="2:27" s="1231" customFormat="1" x14ac:dyDescent="0.2">
      <c r="B70" s="1218" t="s">
        <v>795</v>
      </c>
      <c r="C70" s="1893"/>
      <c r="D70" s="1220"/>
      <c r="E70" s="1221"/>
      <c r="F70" s="1221"/>
      <c r="G70" s="1916">
        <f t="shared" si="13"/>
        <v>0</v>
      </c>
      <c r="H70" s="1222">
        <f t="shared" si="14"/>
        <v>0</v>
      </c>
      <c r="I70" s="1223">
        <f>IF(W70&gt;35,35/2,W70/2)</f>
        <v>0</v>
      </c>
      <c r="J70" s="1232"/>
      <c r="K70" s="2025"/>
      <c r="L70" s="2025"/>
      <c r="M70" s="2959"/>
      <c r="N70" s="2960"/>
      <c r="O70" s="2960"/>
      <c r="P70" s="2961"/>
      <c r="Q70" s="1228"/>
      <c r="R70" s="1228"/>
      <c r="S70" s="1229" t="str">
        <f t="shared" si="16"/>
        <v/>
      </c>
      <c r="T70" s="1229" t="str">
        <f t="shared" si="17"/>
        <v/>
      </c>
      <c r="U70" s="1229">
        <f>IF(AND(S70=0,T70=1),1,IF(AND(S70=1,T70=1),1,0))</f>
        <v>0</v>
      </c>
      <c r="V70" s="1229">
        <f t="shared" si="19"/>
        <v>0</v>
      </c>
      <c r="W70" s="1230">
        <f t="shared" si="20"/>
        <v>0</v>
      </c>
      <c r="X70" s="1230"/>
      <c r="Y70" s="1230"/>
      <c r="Z70" s="1230"/>
      <c r="AA70" s="1230"/>
    </row>
    <row r="71" spans="2:27" s="1217" customFormat="1" x14ac:dyDescent="0.2">
      <c r="B71" s="1233"/>
      <c r="C71" s="1234"/>
      <c r="D71" s="1235"/>
      <c r="E71" s="1235"/>
      <c r="F71" s="1236" t="s">
        <v>456</v>
      </c>
      <c r="G71" s="1237"/>
      <c r="H71" s="1238">
        <f>SUM(H66:H70)</f>
        <v>0</v>
      </c>
      <c r="I71" s="1239">
        <f>SUM(I66:I70)</f>
        <v>0</v>
      </c>
      <c r="J71" s="1240"/>
      <c r="K71" s="1238"/>
      <c r="L71" s="1241"/>
      <c r="M71" s="1242">
        <f>SUM(U66:U70)</f>
        <v>0</v>
      </c>
      <c r="N71" s="1649"/>
      <c r="O71" s="1243"/>
      <c r="P71" s="1244"/>
      <c r="Q71" s="1245"/>
      <c r="R71" s="1245"/>
      <c r="S71" s="1229"/>
      <c r="T71" s="1229"/>
      <c r="U71" s="1229"/>
      <c r="V71" s="1197"/>
      <c r="W71" s="1216"/>
      <c r="X71" s="1216"/>
      <c r="Y71" s="1216"/>
      <c r="Z71" s="1216"/>
      <c r="AA71" s="1216"/>
    </row>
    <row r="72" spans="2:27" s="1198" customFormat="1" ht="12.75" customHeight="1" x14ac:dyDescent="0.2">
      <c r="B72" s="1188"/>
      <c r="C72" s="1189" t="s">
        <v>751</v>
      </c>
      <c r="D72" s="2962" t="s">
        <v>1239</v>
      </c>
      <c r="E72" s="1189" t="s">
        <v>784</v>
      </c>
      <c r="F72" s="1190" t="s">
        <v>752</v>
      </c>
      <c r="G72" s="1191" t="s">
        <v>639</v>
      </c>
      <c r="H72" s="1191" t="s">
        <v>639</v>
      </c>
      <c r="I72" s="1192" t="s">
        <v>639</v>
      </c>
      <c r="J72" s="1188" t="s">
        <v>785</v>
      </c>
      <c r="K72" s="1190" t="s">
        <v>786</v>
      </c>
      <c r="L72" s="1190" t="s">
        <v>787</v>
      </c>
      <c r="M72" s="2967" t="s">
        <v>788</v>
      </c>
      <c r="N72" s="2968"/>
      <c r="O72" s="2968"/>
      <c r="P72" s="2969"/>
      <c r="Q72" s="1195"/>
      <c r="R72" s="1195"/>
      <c r="S72" s="1229"/>
      <c r="T72" s="1229"/>
      <c r="U72" s="1229"/>
      <c r="V72" s="1197"/>
      <c r="W72" s="1196"/>
      <c r="X72" s="1196"/>
      <c r="Y72" s="1196"/>
      <c r="Z72" s="1196"/>
      <c r="AA72" s="1196"/>
    </row>
    <row r="73" spans="2:27" s="1209" customFormat="1" x14ac:dyDescent="0.2">
      <c r="B73" s="1199"/>
      <c r="C73" s="1894"/>
      <c r="D73" s="2963"/>
      <c r="E73" s="1201"/>
      <c r="F73" s="1201" t="s">
        <v>754</v>
      </c>
      <c r="G73" s="1202" t="s">
        <v>789</v>
      </c>
      <c r="H73" s="1202" t="s">
        <v>641</v>
      </c>
      <c r="I73" s="1203" t="s">
        <v>510</v>
      </c>
      <c r="J73" s="1246" t="s">
        <v>790</v>
      </c>
      <c r="K73" s="1247" t="s">
        <v>1245</v>
      </c>
      <c r="L73" s="1247" t="s">
        <v>1245</v>
      </c>
      <c r="M73" s="2976"/>
      <c r="N73" s="2977"/>
      <c r="O73" s="2977"/>
      <c r="P73" s="2978"/>
      <c r="Q73" s="1206"/>
      <c r="R73" s="1206"/>
      <c r="S73" s="1229"/>
      <c r="T73" s="1229"/>
      <c r="U73" s="1229"/>
      <c r="V73" s="1208"/>
      <c r="W73" s="1207"/>
      <c r="X73" s="1207"/>
      <c r="Y73" s="1207"/>
      <c r="Z73" s="1207"/>
      <c r="AA73" s="1207"/>
    </row>
    <row r="74" spans="2:27" s="1217" customFormat="1" x14ac:dyDescent="0.2">
      <c r="B74" s="1248"/>
      <c r="C74" s="1249" t="s">
        <v>806</v>
      </c>
      <c r="D74" s="1250"/>
      <c r="E74" s="1250"/>
      <c r="F74" s="1250"/>
      <c r="G74" s="1213"/>
      <c r="H74" s="1251"/>
      <c r="I74" s="1252"/>
      <c r="J74" s="2973" t="s">
        <v>897</v>
      </c>
      <c r="K74" s="2974"/>
      <c r="L74" s="2974"/>
      <c r="M74" s="2974"/>
      <c r="N74" s="2974"/>
      <c r="O74" s="2974"/>
      <c r="P74" s="2975"/>
      <c r="Q74" s="1253"/>
      <c r="R74" s="1253"/>
      <c r="S74" s="1229"/>
      <c r="T74" s="1229"/>
      <c r="U74" s="1229"/>
      <c r="V74" s="1197"/>
      <c r="W74" s="1216"/>
      <c r="X74" s="1216"/>
      <c r="Y74" s="1216"/>
      <c r="Z74" s="1216"/>
      <c r="AA74" s="1216"/>
    </row>
    <row r="75" spans="2:27" s="1231" customFormat="1" x14ac:dyDescent="0.2">
      <c r="B75" s="1218" t="s">
        <v>791</v>
      </c>
      <c r="C75" s="1893"/>
      <c r="D75" s="1220"/>
      <c r="E75" s="1221"/>
      <c r="F75" s="1221"/>
      <c r="G75" s="1916">
        <f>H75*2</f>
        <v>0</v>
      </c>
      <c r="H75" s="1222">
        <f>I75*15</f>
        <v>0</v>
      </c>
      <c r="I75" s="1223">
        <f>IF(W75&gt;35,35/2,W75/2)</f>
        <v>0</v>
      </c>
      <c r="J75" s="1254"/>
      <c r="K75" s="2024"/>
      <c r="L75" s="2027"/>
      <c r="M75" s="2979"/>
      <c r="N75" s="2980"/>
      <c r="O75" s="2980"/>
      <c r="P75" s="2981"/>
      <c r="Q75" s="1255"/>
      <c r="R75" s="1255"/>
      <c r="S75" s="1229" t="str">
        <f t="shared" ref="S75:S79" si="21">IF(K75&lt;&gt;"",IF(AND(K75&lt;=$S$21),0,1),"")</f>
        <v/>
      </c>
      <c r="T75" s="1229" t="str">
        <f t="shared" ref="T75:T79" si="22">IF(L75&lt;&gt;"",IF(AND(L75&gt;=$S$21,L75&lt;=$T$21),1,IF(L75&gt;$T$21,1,0)),"")</f>
        <v/>
      </c>
      <c r="U75" s="1229">
        <f t="shared" ref="U75:U79" si="23">IF(AND(S75=0,T75=1),1,IF(AND(S75=1,T75=1),1,0))</f>
        <v>0</v>
      </c>
      <c r="V75" s="1229">
        <f>IF(OR(D75="",D75=0,E75="",E75=0,F75="",F75=0),0,D75*(F75/100))</f>
        <v>0</v>
      </c>
      <c r="W75" s="1230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1230"/>
      <c r="Y75" s="1230"/>
      <c r="Z75" s="1230"/>
      <c r="AA75" s="1230"/>
    </row>
    <row r="76" spans="2:27" s="1231" customFormat="1" x14ac:dyDescent="0.2">
      <c r="B76" s="1218" t="s">
        <v>792</v>
      </c>
      <c r="C76" s="1893"/>
      <c r="D76" s="1220"/>
      <c r="E76" s="1221"/>
      <c r="F76" s="1221"/>
      <c r="G76" s="1916">
        <f t="shared" ref="G76:G79" si="24">H76*2</f>
        <v>0</v>
      </c>
      <c r="H76" s="1222">
        <f t="shared" ref="H76:H79" si="25">I76*15</f>
        <v>0</v>
      </c>
      <c r="I76" s="1223">
        <f t="shared" ref="I76:I78" si="26">IF(W76&gt;35,35/2,W76/2)</f>
        <v>0</v>
      </c>
      <c r="J76" s="1256"/>
      <c r="K76" s="2025"/>
      <c r="L76" s="2028"/>
      <c r="M76" s="2959"/>
      <c r="N76" s="2960"/>
      <c r="O76" s="2960"/>
      <c r="P76" s="2961"/>
      <c r="Q76" s="1255"/>
      <c r="R76" s="1255"/>
      <c r="S76" s="1229" t="str">
        <f t="shared" si="21"/>
        <v/>
      </c>
      <c r="T76" s="1229" t="str">
        <f t="shared" si="22"/>
        <v/>
      </c>
      <c r="U76" s="1229">
        <f t="shared" si="23"/>
        <v>0</v>
      </c>
      <c r="V76" s="1229">
        <f t="shared" ref="V76:V79" si="27">IF(OR(D76="",D76=0,E76="",E76=0,F76="",F76=0),0,D76*(F76/100))</f>
        <v>0</v>
      </c>
      <c r="W76" s="1230">
        <f t="shared" ref="W76:W79" si="28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1230"/>
      <c r="Y76" s="1230"/>
      <c r="Z76" s="1230"/>
      <c r="AA76" s="1230"/>
    </row>
    <row r="77" spans="2:27" s="1231" customFormat="1" x14ac:dyDescent="0.2">
      <c r="B77" s="1218" t="s">
        <v>793</v>
      </c>
      <c r="C77" s="1893"/>
      <c r="D77" s="1220"/>
      <c r="E77" s="1221"/>
      <c r="F77" s="1221"/>
      <c r="G77" s="1916">
        <f t="shared" si="24"/>
        <v>0</v>
      </c>
      <c r="H77" s="1222">
        <f t="shared" si="25"/>
        <v>0</v>
      </c>
      <c r="I77" s="1223">
        <f t="shared" si="26"/>
        <v>0</v>
      </c>
      <c r="J77" s="1256"/>
      <c r="K77" s="2025"/>
      <c r="L77" s="2028"/>
      <c r="M77" s="2959"/>
      <c r="N77" s="2960"/>
      <c r="O77" s="2960"/>
      <c r="P77" s="2961"/>
      <c r="Q77" s="1255"/>
      <c r="R77" s="1255"/>
      <c r="S77" s="1229" t="str">
        <f t="shared" si="21"/>
        <v/>
      </c>
      <c r="T77" s="1229" t="str">
        <f t="shared" si="22"/>
        <v/>
      </c>
      <c r="U77" s="1229">
        <f t="shared" si="23"/>
        <v>0</v>
      </c>
      <c r="V77" s="1229">
        <f t="shared" si="27"/>
        <v>0</v>
      </c>
      <c r="W77" s="1230">
        <f t="shared" si="28"/>
        <v>0</v>
      </c>
      <c r="X77" s="1230"/>
      <c r="Y77" s="1230"/>
      <c r="Z77" s="1230"/>
      <c r="AA77" s="1230"/>
    </row>
    <row r="78" spans="2:27" s="1231" customFormat="1" x14ac:dyDescent="0.2">
      <c r="B78" s="1218" t="s">
        <v>794</v>
      </c>
      <c r="C78" s="1893"/>
      <c r="D78" s="1220"/>
      <c r="E78" s="1221"/>
      <c r="F78" s="1221"/>
      <c r="G78" s="1916">
        <f t="shared" si="24"/>
        <v>0</v>
      </c>
      <c r="H78" s="1222">
        <f t="shared" si="25"/>
        <v>0</v>
      </c>
      <c r="I78" s="1223">
        <f t="shared" si="26"/>
        <v>0</v>
      </c>
      <c r="J78" s="1256"/>
      <c r="K78" s="2025"/>
      <c r="L78" s="2028"/>
      <c r="M78" s="2959"/>
      <c r="N78" s="2960"/>
      <c r="O78" s="2960"/>
      <c r="P78" s="2961"/>
      <c r="Q78" s="1255"/>
      <c r="R78" s="1255"/>
      <c r="S78" s="1229" t="str">
        <f t="shared" si="21"/>
        <v/>
      </c>
      <c r="T78" s="1229" t="str">
        <f t="shared" si="22"/>
        <v/>
      </c>
      <c r="U78" s="1229">
        <f t="shared" si="23"/>
        <v>0</v>
      </c>
      <c r="V78" s="1229">
        <f t="shared" si="27"/>
        <v>0</v>
      </c>
      <c r="W78" s="1230">
        <f t="shared" si="28"/>
        <v>0</v>
      </c>
      <c r="X78" s="1230"/>
      <c r="Y78" s="1230"/>
      <c r="Z78" s="1230"/>
      <c r="AA78" s="1230"/>
    </row>
    <row r="79" spans="2:27" s="1231" customFormat="1" x14ac:dyDescent="0.2">
      <c r="B79" s="1218" t="s">
        <v>795</v>
      </c>
      <c r="C79" s="1893"/>
      <c r="D79" s="1220"/>
      <c r="E79" s="1221"/>
      <c r="F79" s="1221"/>
      <c r="G79" s="1916">
        <f t="shared" si="24"/>
        <v>0</v>
      </c>
      <c r="H79" s="1222">
        <f t="shared" si="25"/>
        <v>0</v>
      </c>
      <c r="I79" s="1223">
        <f>IF(W79&gt;35,35/2,W79/2)</f>
        <v>0</v>
      </c>
      <c r="J79" s="1256"/>
      <c r="K79" s="2025"/>
      <c r="L79" s="2028"/>
      <c r="M79" s="2959"/>
      <c r="N79" s="2960"/>
      <c r="O79" s="2960"/>
      <c r="P79" s="2961"/>
      <c r="Q79" s="1255"/>
      <c r="R79" s="1255"/>
      <c r="S79" s="1229" t="str">
        <f t="shared" si="21"/>
        <v/>
      </c>
      <c r="T79" s="1229" t="str">
        <f t="shared" si="22"/>
        <v/>
      </c>
      <c r="U79" s="1229">
        <f t="shared" si="23"/>
        <v>0</v>
      </c>
      <c r="V79" s="1229">
        <f t="shared" si="27"/>
        <v>0</v>
      </c>
      <c r="W79" s="1230">
        <f t="shared" si="28"/>
        <v>0</v>
      </c>
      <c r="X79" s="1230"/>
      <c r="Y79" s="1230"/>
      <c r="Z79" s="1230"/>
      <c r="AA79" s="1230"/>
    </row>
    <row r="80" spans="2:27" s="1217" customFormat="1" x14ac:dyDescent="0.2">
      <c r="B80" s="1257"/>
      <c r="C80" s="1258"/>
      <c r="D80" s="1259"/>
      <c r="E80" s="1259"/>
      <c r="F80" s="1260" t="s">
        <v>456</v>
      </c>
      <c r="G80" s="1261"/>
      <c r="H80" s="1262">
        <f>SUM(H75:H79)</f>
        <v>0</v>
      </c>
      <c r="I80" s="1263">
        <f>SUM(I75:I79)</f>
        <v>0</v>
      </c>
      <c r="J80" s="1264"/>
      <c r="K80" s="1265"/>
      <c r="L80" s="1265"/>
      <c r="M80" s="1266">
        <f>SUM(U75:U79)</f>
        <v>0</v>
      </c>
      <c r="N80" s="1266"/>
      <c r="O80" s="1265"/>
      <c r="P80" s="1267"/>
      <c r="Q80" s="1268"/>
      <c r="R80" s="1268"/>
      <c r="S80" s="1229"/>
      <c r="T80" s="1229"/>
      <c r="U80" s="1229"/>
      <c r="V80" s="1197"/>
      <c r="W80" s="1216"/>
      <c r="X80" s="1216"/>
      <c r="Y80" s="1216"/>
      <c r="Z80" s="1216"/>
      <c r="AA80" s="1216"/>
    </row>
    <row r="81" spans="2:27" s="1217" customFormat="1" ht="21" customHeight="1" x14ac:dyDescent="0.2">
      <c r="B81" s="1288"/>
      <c r="C81" s="1289"/>
      <c r="D81" s="1289"/>
      <c r="E81" s="1289"/>
      <c r="F81" s="1289"/>
      <c r="G81" s="1290" t="s">
        <v>814</v>
      </c>
      <c r="H81" s="1291">
        <f>H51+H37+H60+H71+H80</f>
        <v>475</v>
      </c>
      <c r="I81" s="1292">
        <f>I51+I37+I60+I71+I80</f>
        <v>31.666666666666664</v>
      </c>
      <c r="J81" s="1293"/>
      <c r="K81" s="1294"/>
      <c r="L81" s="1294"/>
      <c r="M81" s="1294"/>
      <c r="N81" s="1294"/>
      <c r="O81" s="1294"/>
      <c r="P81" s="1295"/>
      <c r="Q81" s="1296"/>
      <c r="R81" s="1296"/>
      <c r="S81" s="1229"/>
      <c r="T81" s="1216"/>
      <c r="U81" s="1216"/>
      <c r="V81" s="1197"/>
      <c r="W81" s="1216"/>
      <c r="X81" s="1216"/>
      <c r="Y81" s="1216"/>
      <c r="Z81" s="1216"/>
      <c r="AA81" s="1216"/>
    </row>
    <row r="82" spans="2:27" s="1304" customFormat="1" ht="12.75" customHeight="1" x14ac:dyDescent="0.2">
      <c r="B82" s="1297"/>
      <c r="C82" s="1298"/>
      <c r="D82" s="1298"/>
      <c r="E82" s="1298"/>
      <c r="F82" s="1298"/>
      <c r="G82" s="1299"/>
      <c r="H82" s="1300"/>
      <c r="I82" s="1300"/>
      <c r="J82" s="1300"/>
      <c r="K82" s="1300"/>
      <c r="L82" s="1300"/>
      <c r="M82" s="1300"/>
      <c r="N82" s="1300"/>
      <c r="O82" s="1300"/>
      <c r="P82" s="1301"/>
      <c r="Q82" s="1296"/>
      <c r="R82" s="1296"/>
      <c r="S82" s="1229"/>
      <c r="T82" s="1302"/>
      <c r="U82" s="1302"/>
      <c r="V82" s="1303"/>
      <c r="W82" s="1302"/>
      <c r="X82" s="1302"/>
      <c r="Y82" s="1302"/>
      <c r="Z82" s="1302"/>
      <c r="AA82" s="1302"/>
    </row>
    <row r="83" spans="2:27" s="1187" customFormat="1" ht="21" customHeight="1" x14ac:dyDescent="0.2">
      <c r="B83" s="1181" t="s">
        <v>1201</v>
      </c>
      <c r="C83" s="1182"/>
      <c r="D83" s="1305"/>
      <c r="E83" s="1306"/>
      <c r="F83" s="1306"/>
      <c r="G83" s="1306"/>
      <c r="H83" s="1307"/>
      <c r="I83" s="1308"/>
      <c r="J83" s="3088" t="s">
        <v>621</v>
      </c>
      <c r="K83" s="3089"/>
      <c r="L83" s="3089"/>
      <c r="M83" s="3089"/>
      <c r="N83" s="3089"/>
      <c r="O83" s="3089"/>
      <c r="P83" s="3090"/>
      <c r="Q83" s="1309"/>
      <c r="R83" s="1309"/>
      <c r="S83" s="1229"/>
      <c r="T83" s="1185"/>
      <c r="U83" s="1185"/>
      <c r="V83" s="1186"/>
      <c r="W83" s="1185"/>
      <c r="X83" s="1185"/>
      <c r="Y83" s="1185"/>
      <c r="Z83" s="1185"/>
      <c r="AA83" s="1185"/>
    </row>
    <row r="84" spans="2:27" s="1198" customFormat="1" ht="12.75" customHeight="1" x14ac:dyDescent="0.2">
      <c r="B84" s="1188"/>
      <c r="C84" s="2982" t="s">
        <v>751</v>
      </c>
      <c r="D84" s="2983"/>
      <c r="E84" s="1310" t="s">
        <v>784</v>
      </c>
      <c r="F84" s="1310" t="s">
        <v>752</v>
      </c>
      <c r="G84" s="1191" t="s">
        <v>639</v>
      </c>
      <c r="H84" s="1191" t="s">
        <v>639</v>
      </c>
      <c r="I84" s="1192" t="s">
        <v>639</v>
      </c>
      <c r="J84" s="1188" t="s">
        <v>785</v>
      </c>
      <c r="K84" s="2967" t="s">
        <v>815</v>
      </c>
      <c r="L84" s="2984"/>
      <c r="M84" s="2985" t="s">
        <v>788</v>
      </c>
      <c r="N84" s="2986"/>
      <c r="O84" s="2986"/>
      <c r="P84" s="2987"/>
      <c r="Q84" s="1195"/>
      <c r="R84" s="1195"/>
      <c r="S84" s="1229"/>
      <c r="T84" s="1196"/>
      <c r="U84" s="1196"/>
      <c r="V84" s="1197"/>
      <c r="W84" s="1196"/>
      <c r="X84" s="1196"/>
      <c r="Y84" s="1196"/>
      <c r="Z84" s="1196"/>
      <c r="AA84" s="1196"/>
    </row>
    <row r="85" spans="2:27" s="1209" customFormat="1" x14ac:dyDescent="0.2">
      <c r="B85" s="1311"/>
      <c r="C85" s="1312"/>
      <c r="D85" s="1313"/>
      <c r="E85" s="1314"/>
      <c r="F85" s="1314" t="s">
        <v>816</v>
      </c>
      <c r="G85" s="1315" t="s">
        <v>789</v>
      </c>
      <c r="H85" s="1315" t="s">
        <v>641</v>
      </c>
      <c r="I85" s="1316" t="s">
        <v>510</v>
      </c>
      <c r="J85" s="1246" t="s">
        <v>790</v>
      </c>
      <c r="K85" s="2976" t="s">
        <v>1245</v>
      </c>
      <c r="L85" s="2996"/>
      <c r="M85" s="2976"/>
      <c r="N85" s="2977"/>
      <c r="O85" s="2977"/>
      <c r="P85" s="2978"/>
      <c r="Q85" s="1195"/>
      <c r="R85" s="1195"/>
      <c r="S85" s="1229"/>
      <c r="T85" s="1207"/>
      <c r="U85" s="1207"/>
      <c r="V85" s="1208"/>
      <c r="W85" s="1207"/>
      <c r="X85" s="1207"/>
      <c r="Y85" s="1207"/>
      <c r="Z85" s="1207"/>
      <c r="AA85" s="1207"/>
    </row>
    <row r="86" spans="2:27" s="1209" customFormat="1" x14ac:dyDescent="0.2">
      <c r="B86" s="1199"/>
      <c r="C86" s="1317"/>
      <c r="D86" s="1318"/>
      <c r="E86" s="1319"/>
      <c r="F86" s="1319"/>
      <c r="G86" s="1320"/>
      <c r="H86" s="1320"/>
      <c r="I86" s="1321"/>
      <c r="J86" s="2997" t="s">
        <v>899</v>
      </c>
      <c r="K86" s="2998"/>
      <c r="L86" s="2998"/>
      <c r="M86" s="2998"/>
      <c r="N86" s="2998"/>
      <c r="O86" s="2998"/>
      <c r="P86" s="2999"/>
      <c r="Q86" s="1253"/>
      <c r="R86" s="1253"/>
      <c r="S86" s="1229"/>
      <c r="T86" s="1207"/>
      <c r="U86" s="1207"/>
      <c r="V86" s="1208"/>
      <c r="W86" s="1207"/>
      <c r="X86" s="1207"/>
      <c r="Y86" s="1207"/>
      <c r="Z86" s="1207"/>
      <c r="AA86" s="1207"/>
    </row>
    <row r="87" spans="2:27" s="1231" customFormat="1" x14ac:dyDescent="0.2">
      <c r="B87" s="1218" t="s">
        <v>791</v>
      </c>
      <c r="C87" s="2988"/>
      <c r="D87" s="2990"/>
      <c r="E87" s="1221"/>
      <c r="F87" s="1221"/>
      <c r="G87" s="1322">
        <f>IF(F87="",45,45*(F87/100))</f>
        <v>45</v>
      </c>
      <c r="H87" s="1222">
        <f>IF(AND(C87&lt;&gt;"",F87&lt;&gt;"",F87&lt;&gt;0),G87/2,0)</f>
        <v>0</v>
      </c>
      <c r="I87" s="1223">
        <f>H87/15</f>
        <v>0</v>
      </c>
      <c r="J87" s="1323"/>
      <c r="K87" s="2991"/>
      <c r="L87" s="2992"/>
      <c r="M87" s="2993"/>
      <c r="N87" s="2994"/>
      <c r="O87" s="2994"/>
      <c r="P87" s="2995"/>
      <c r="Q87" s="1324"/>
      <c r="R87" s="1324"/>
      <c r="S87" s="1229" t="str">
        <f>IF(K87&lt;&gt;"",IF(AND(K87&gt;=$S$21,K87&lt;=$T$21),1,0),"")</f>
        <v/>
      </c>
      <c r="T87" s="1230"/>
      <c r="U87" s="1230"/>
      <c r="V87" s="1229"/>
      <c r="W87" s="1230"/>
      <c r="X87" s="1230"/>
      <c r="Y87" s="1230"/>
      <c r="Z87" s="1230"/>
      <c r="AA87" s="1230"/>
    </row>
    <row r="88" spans="2:27" s="1231" customFormat="1" x14ac:dyDescent="0.2">
      <c r="B88" s="1218" t="s">
        <v>792</v>
      </c>
      <c r="C88" s="2988"/>
      <c r="D88" s="2990"/>
      <c r="E88" s="1221"/>
      <c r="F88" s="1221"/>
      <c r="G88" s="1322">
        <f t="shared" ref="G88:G91" si="29">IF(F88="",45,45*(F88/100))</f>
        <v>45</v>
      </c>
      <c r="H88" s="1222">
        <f>IF(AND(C88&lt;&gt;"",F88&lt;&gt;"",F88&lt;&gt;0),G88/2,0)</f>
        <v>0</v>
      </c>
      <c r="I88" s="1223">
        <f>H88/15</f>
        <v>0</v>
      </c>
      <c r="J88" s="1323"/>
      <c r="K88" s="2991"/>
      <c r="L88" s="2992"/>
      <c r="M88" s="2993"/>
      <c r="N88" s="2994"/>
      <c r="O88" s="2994"/>
      <c r="P88" s="2995"/>
      <c r="Q88" s="1324"/>
      <c r="R88" s="1324"/>
      <c r="S88" s="1229" t="str">
        <f t="shared" ref="S88:S91" si="30">IF(K88&lt;&gt;"",IF(AND(K88&gt;=$S$21,K88&lt;=$T$21),1,0),"")</f>
        <v/>
      </c>
      <c r="T88" s="1230"/>
      <c r="U88" s="1230"/>
      <c r="V88" s="1229"/>
      <c r="W88" s="1230"/>
      <c r="X88" s="1230"/>
      <c r="Y88" s="1230"/>
      <c r="Z88" s="1230"/>
      <c r="AA88" s="1230"/>
    </row>
    <row r="89" spans="2:27" s="1231" customFormat="1" x14ac:dyDescent="0.2">
      <c r="B89" s="1218" t="s">
        <v>793</v>
      </c>
      <c r="C89" s="2988"/>
      <c r="D89" s="2990"/>
      <c r="E89" s="1221"/>
      <c r="F89" s="1221"/>
      <c r="G89" s="1322">
        <f t="shared" si="29"/>
        <v>45</v>
      </c>
      <c r="H89" s="1222">
        <f t="shared" ref="H89:H91" si="31">IF(AND(C89&lt;&gt;"",F89&lt;&gt;"",F89&lt;&gt;0),G89/2,0)</f>
        <v>0</v>
      </c>
      <c r="I89" s="1223">
        <f>H89/15</f>
        <v>0</v>
      </c>
      <c r="J89" s="1323"/>
      <c r="K89" s="2991"/>
      <c r="L89" s="2992"/>
      <c r="M89" s="2993"/>
      <c r="N89" s="2994"/>
      <c r="O89" s="2994"/>
      <c r="P89" s="2995"/>
      <c r="Q89" s="1324"/>
      <c r="R89" s="1324"/>
      <c r="S89" s="1229" t="str">
        <f t="shared" si="30"/>
        <v/>
      </c>
      <c r="T89" s="1230"/>
      <c r="U89" s="1230"/>
      <c r="V89" s="1229"/>
      <c r="W89" s="1230"/>
      <c r="X89" s="1230"/>
      <c r="Y89" s="1230"/>
      <c r="Z89" s="1230"/>
      <c r="AA89" s="1230"/>
    </row>
    <row r="90" spans="2:27" s="1231" customFormat="1" x14ac:dyDescent="0.2">
      <c r="B90" s="1218" t="s">
        <v>794</v>
      </c>
      <c r="C90" s="2988"/>
      <c r="D90" s="2990"/>
      <c r="E90" s="1221"/>
      <c r="F90" s="1221"/>
      <c r="G90" s="1322">
        <f t="shared" si="29"/>
        <v>45</v>
      </c>
      <c r="H90" s="1222">
        <f t="shared" si="31"/>
        <v>0</v>
      </c>
      <c r="I90" s="1223">
        <f>H90/15</f>
        <v>0</v>
      </c>
      <c r="J90" s="1323"/>
      <c r="K90" s="2991"/>
      <c r="L90" s="2992"/>
      <c r="M90" s="2993"/>
      <c r="N90" s="2994"/>
      <c r="O90" s="2994"/>
      <c r="P90" s="2995"/>
      <c r="Q90" s="1324"/>
      <c r="R90" s="1324"/>
      <c r="S90" s="1229" t="str">
        <f t="shared" si="30"/>
        <v/>
      </c>
      <c r="T90" s="1230"/>
      <c r="U90" s="1230"/>
      <c r="V90" s="1229"/>
      <c r="W90" s="1230"/>
      <c r="X90" s="1230"/>
      <c r="Y90" s="1230"/>
      <c r="Z90" s="1230"/>
      <c r="AA90" s="1230"/>
    </row>
    <row r="91" spans="2:27" s="1231" customFormat="1" x14ac:dyDescent="0.2">
      <c r="B91" s="1218" t="s">
        <v>795</v>
      </c>
      <c r="C91" s="2988"/>
      <c r="D91" s="2990"/>
      <c r="E91" s="1221"/>
      <c r="F91" s="1221"/>
      <c r="G91" s="1322">
        <f t="shared" si="29"/>
        <v>45</v>
      </c>
      <c r="H91" s="1222">
        <f t="shared" si="31"/>
        <v>0</v>
      </c>
      <c r="I91" s="1223">
        <f>H91/15</f>
        <v>0</v>
      </c>
      <c r="J91" s="1325"/>
      <c r="K91" s="3007"/>
      <c r="L91" s="3008"/>
      <c r="M91" s="3009"/>
      <c r="N91" s="3010"/>
      <c r="O91" s="3010"/>
      <c r="P91" s="3011"/>
      <c r="Q91" s="1324"/>
      <c r="R91" s="1324"/>
      <c r="S91" s="1229" t="str">
        <f t="shared" si="30"/>
        <v/>
      </c>
      <c r="T91" s="1230"/>
      <c r="U91" s="1230"/>
      <c r="V91" s="1229"/>
      <c r="W91" s="1230"/>
      <c r="X91" s="1230"/>
      <c r="Y91" s="1230"/>
      <c r="Z91" s="1230"/>
      <c r="AA91" s="1230"/>
    </row>
    <row r="92" spans="2:27" s="1217" customFormat="1" x14ac:dyDescent="0.2">
      <c r="B92" s="1326"/>
      <c r="C92" s="1327"/>
      <c r="D92" s="1328"/>
      <c r="E92" s="1328"/>
      <c r="F92" s="1329" t="s">
        <v>456</v>
      </c>
      <c r="G92" s="1330"/>
      <c r="H92" s="1282">
        <f>SUM(H87:H91)</f>
        <v>0</v>
      </c>
      <c r="I92" s="1283">
        <f>SUM(I87:I91)</f>
        <v>0</v>
      </c>
      <c r="J92" s="1331"/>
      <c r="K92" s="3086"/>
      <c r="L92" s="3087"/>
      <c r="M92" s="1332">
        <f>SUM(S87:S91)</f>
        <v>0</v>
      </c>
      <c r="N92" s="1286"/>
      <c r="O92" s="1285"/>
      <c r="P92" s="1333"/>
      <c r="Q92" s="1245"/>
      <c r="R92" s="1245"/>
      <c r="S92" s="1216"/>
      <c r="T92" s="1216"/>
      <c r="U92" s="1216"/>
      <c r="V92" s="1197"/>
      <c r="W92" s="1216"/>
      <c r="X92" s="1216"/>
      <c r="Y92" s="1216"/>
      <c r="Z92" s="1216"/>
      <c r="AA92" s="1216"/>
    </row>
    <row r="93" spans="2:27" s="1304" customFormat="1" x14ac:dyDescent="0.2">
      <c r="B93" s="1856"/>
      <c r="C93" s="1335"/>
      <c r="D93" s="1336"/>
      <c r="E93" s="1336"/>
      <c r="F93" s="1337"/>
      <c r="G93" s="1338"/>
      <c r="H93" s="1339"/>
      <c r="I93" s="1339"/>
      <c r="J93" s="1339"/>
      <c r="K93" s="1339"/>
      <c r="L93" s="1339"/>
      <c r="M93" s="1339"/>
      <c r="N93" s="1339"/>
      <c r="O93" s="1339"/>
      <c r="P93" s="1340"/>
      <c r="Q93" s="1340"/>
      <c r="R93" s="1340"/>
      <c r="S93" s="1302"/>
      <c r="T93" s="1302"/>
      <c r="U93" s="1302"/>
      <c r="V93" s="1303"/>
      <c r="W93" s="1302"/>
      <c r="X93" s="1302"/>
      <c r="Y93" s="1302"/>
      <c r="Z93" s="1302"/>
      <c r="AA93" s="1302"/>
    </row>
    <row r="94" spans="2:27" s="1217" customFormat="1" x14ac:dyDescent="0.2">
      <c r="B94" s="1335"/>
      <c r="C94" s="1335"/>
      <c r="D94" s="1335"/>
      <c r="E94" s="1335"/>
      <c r="F94" s="1335"/>
      <c r="G94" s="1336"/>
      <c r="H94" s="1341"/>
      <c r="I94" s="1341"/>
      <c r="J94" s="1341"/>
      <c r="K94" s="1341"/>
      <c r="L94" s="1341"/>
      <c r="M94" s="1341"/>
      <c r="N94" s="1341"/>
      <c r="O94" s="1341"/>
      <c r="P94" s="1341"/>
      <c r="Q94" s="1341"/>
      <c r="R94" s="1341"/>
      <c r="S94" s="1216"/>
      <c r="T94" s="1216"/>
      <c r="U94" s="1216"/>
      <c r="V94" s="1197"/>
      <c r="W94" s="1216"/>
      <c r="X94" s="1216"/>
      <c r="Y94" s="1216"/>
      <c r="Z94" s="1216"/>
      <c r="AA94" s="1216"/>
    </row>
    <row r="95" spans="2:27" s="1187" customFormat="1" ht="21" customHeight="1" x14ac:dyDescent="0.2">
      <c r="B95" s="1342" t="s">
        <v>817</v>
      </c>
      <c r="C95" s="1343"/>
      <c r="D95" s="1344"/>
      <c r="E95" s="1345"/>
      <c r="F95" s="1345"/>
      <c r="G95" s="1346"/>
      <c r="H95" s="1347"/>
      <c r="I95" s="1347"/>
      <c r="J95" s="1347"/>
      <c r="K95" s="1347"/>
      <c r="L95" s="1347"/>
      <c r="M95" s="1348">
        <f>M121+M148+M175+M202</f>
        <v>2</v>
      </c>
      <c r="N95" s="1348"/>
      <c r="O95" s="1347"/>
      <c r="P95" s="1347"/>
      <c r="Q95" s="1347"/>
      <c r="R95" s="1349"/>
      <c r="S95" s="1185"/>
      <c r="T95" s="1185"/>
      <c r="U95" s="1185"/>
      <c r="V95" s="1186"/>
      <c r="W95" s="1185"/>
      <c r="X95" s="1185"/>
      <c r="Y95" s="1185"/>
      <c r="Z95" s="1185"/>
      <c r="AA95" s="1185"/>
    </row>
    <row r="96" spans="2:27" s="1187" customFormat="1" ht="21" customHeight="1" x14ac:dyDescent="0.2">
      <c r="B96" s="1181" t="s">
        <v>818</v>
      </c>
      <c r="C96" s="1182"/>
      <c r="D96" s="1305"/>
      <c r="E96" s="1350"/>
      <c r="F96" s="1350"/>
      <c r="G96" s="1306"/>
      <c r="H96" s="1351"/>
      <c r="I96" s="1352"/>
      <c r="J96" s="2964" t="s">
        <v>621</v>
      </c>
      <c r="K96" s="2965"/>
      <c r="L96" s="2965"/>
      <c r="M96" s="2965"/>
      <c r="N96" s="2965"/>
      <c r="O96" s="2965"/>
      <c r="P96" s="2965"/>
      <c r="Q96" s="2965"/>
      <c r="R96" s="2966"/>
      <c r="S96" s="1185"/>
      <c r="T96" s="1185"/>
      <c r="U96" s="1185"/>
      <c r="V96" s="1186"/>
      <c r="W96" s="1185"/>
      <c r="X96" s="1185"/>
      <c r="Y96" s="1185"/>
      <c r="Z96" s="1185"/>
      <c r="AA96" s="1185"/>
    </row>
    <row r="97" spans="2:27" s="1217" customFormat="1" ht="12.75" customHeight="1" x14ac:dyDescent="0.2">
      <c r="B97" s="1353"/>
      <c r="C97" s="3000" t="s">
        <v>819</v>
      </c>
      <c r="D97" s="3001"/>
      <c r="E97" s="3002"/>
      <c r="F97" s="1354" t="s">
        <v>820</v>
      </c>
      <c r="G97" s="1355" t="s">
        <v>821</v>
      </c>
      <c r="H97" s="1191" t="s">
        <v>639</v>
      </c>
      <c r="I97" s="1192" t="s">
        <v>639</v>
      </c>
      <c r="J97" s="3003" t="s">
        <v>822</v>
      </c>
      <c r="K97" s="3004"/>
      <c r="L97" s="3000" t="s">
        <v>823</v>
      </c>
      <c r="M97" s="3001"/>
      <c r="N97" s="3002"/>
      <c r="O97" s="1354" t="s">
        <v>824</v>
      </c>
      <c r="P97" s="3005" t="s">
        <v>825</v>
      </c>
      <c r="Q97" s="3005"/>
      <c r="R97" s="3006"/>
      <c r="S97" s="1216"/>
      <c r="T97" s="1216"/>
      <c r="U97" s="1216"/>
      <c r="V97" s="1197"/>
      <c r="W97" s="1216"/>
      <c r="X97" s="1216"/>
      <c r="Y97" s="1216"/>
      <c r="Z97" s="1216"/>
      <c r="AA97" s="1216"/>
    </row>
    <row r="98" spans="2:27" s="1364" customFormat="1" x14ac:dyDescent="0.2">
      <c r="B98" s="1356"/>
      <c r="C98" s="1357"/>
      <c r="D98" s="1358"/>
      <c r="E98" s="1359"/>
      <c r="F98" s="1360" t="s">
        <v>826</v>
      </c>
      <c r="G98" s="1315"/>
      <c r="H98" s="1315" t="s">
        <v>641</v>
      </c>
      <c r="I98" s="1316" t="s">
        <v>510</v>
      </c>
      <c r="J98" s="3017" t="s">
        <v>827</v>
      </c>
      <c r="K98" s="3018"/>
      <c r="L98" s="3027" t="s">
        <v>828</v>
      </c>
      <c r="M98" s="3028"/>
      <c r="N98" s="3029"/>
      <c r="O98" s="1360" t="s">
        <v>829</v>
      </c>
      <c r="P98" s="1189" t="s">
        <v>830</v>
      </c>
      <c r="Q98" s="1189" t="s">
        <v>831</v>
      </c>
      <c r="R98" s="1361" t="s">
        <v>832</v>
      </c>
      <c r="S98" s="1362"/>
      <c r="T98" s="1362"/>
      <c r="U98" s="1362"/>
      <c r="V98" s="1363"/>
      <c r="W98" s="1362"/>
      <c r="X98" s="1362"/>
      <c r="Y98" s="1362"/>
      <c r="Z98" s="1362"/>
      <c r="AA98" s="1362"/>
    </row>
    <row r="99" spans="2:27" s="1209" customFormat="1" x14ac:dyDescent="0.2">
      <c r="B99" s="1199"/>
      <c r="C99" s="1200"/>
      <c r="D99" s="1365"/>
      <c r="E99" s="1366"/>
      <c r="F99" s="1367" t="s">
        <v>827</v>
      </c>
      <c r="G99" s="1201"/>
      <c r="H99" s="1368"/>
      <c r="I99" s="1321"/>
      <c r="J99" s="1369"/>
      <c r="K99" s="1370"/>
      <c r="L99" s="1371"/>
      <c r="M99" s="3030"/>
      <c r="N99" s="3031"/>
      <c r="O99" s="1372" t="s">
        <v>1245</v>
      </c>
      <c r="P99" s="1201"/>
      <c r="Q99" s="1201" t="s">
        <v>833</v>
      </c>
      <c r="R99" s="1373" t="s">
        <v>834</v>
      </c>
      <c r="S99" s="1207"/>
      <c r="T99" s="1207"/>
      <c r="U99" s="1207"/>
      <c r="V99" s="1208"/>
      <c r="W99" s="1207"/>
      <c r="X99" s="1207"/>
      <c r="Y99" s="1207"/>
      <c r="Z99" s="1207"/>
      <c r="AA99" s="1207"/>
    </row>
    <row r="100" spans="2:27" s="1384" customFormat="1" ht="12.75" customHeight="1" x14ac:dyDescent="0.2">
      <c r="B100" s="1374" t="s">
        <v>646</v>
      </c>
      <c r="C100" s="3019" t="s">
        <v>835</v>
      </c>
      <c r="D100" s="3020"/>
      <c r="E100" s="3021"/>
      <c r="F100" s="1375" t="s">
        <v>290</v>
      </c>
      <c r="G100" s="1376">
        <f>IF(F100="",0,IF(F100="ระดับชาติ",45,IF(F100="ระดับนานาชาติ",90,45)))</f>
        <v>45</v>
      </c>
      <c r="H100" s="1377">
        <f>IF(C100&lt;&gt;"",G100/2,0)</f>
        <v>22.5</v>
      </c>
      <c r="I100" s="1378">
        <f t="shared" ref="I100:I120" si="32">H100/15</f>
        <v>1.5</v>
      </c>
      <c r="J100" s="3022" t="s">
        <v>319</v>
      </c>
      <c r="K100" s="3023"/>
      <c r="L100" s="3032" t="s">
        <v>836</v>
      </c>
      <c r="M100" s="3033"/>
      <c r="N100" s="3034"/>
      <c r="O100" s="2029">
        <v>240817</v>
      </c>
      <c r="P100" s="1379" t="s">
        <v>299</v>
      </c>
      <c r="Q100" s="1379"/>
      <c r="R100" s="1380" t="s">
        <v>299</v>
      </c>
      <c r="S100" s="1381">
        <v>240787</v>
      </c>
      <c r="T100" s="1381">
        <v>240057</v>
      </c>
      <c r="U100" s="1382"/>
      <c r="V100" s="1383"/>
      <c r="W100" s="1383" t="s">
        <v>837</v>
      </c>
      <c r="X100" s="1383" t="s">
        <v>838</v>
      </c>
      <c r="Y100" s="1382"/>
      <c r="Z100" s="1382"/>
      <c r="AA100" s="1382"/>
    </row>
    <row r="101" spans="2:27" s="1231" customFormat="1" x14ac:dyDescent="0.2">
      <c r="B101" s="1385" t="s">
        <v>839</v>
      </c>
      <c r="C101" s="3012" t="s">
        <v>1310</v>
      </c>
      <c r="D101" s="3013"/>
      <c r="E101" s="3014"/>
      <c r="F101" s="1386" t="s">
        <v>290</v>
      </c>
      <c r="G101" s="1322">
        <f>IF(F101="",0,IF(F101="ระดับชาติ",45,IF(F101="ระดับนานาชาติ",90,45)))</f>
        <v>45</v>
      </c>
      <c r="H101" s="1222">
        <f>IF(C101&lt;&gt;"",G101/2,0)</f>
        <v>22.5</v>
      </c>
      <c r="I101" s="1223">
        <f t="shared" si="32"/>
        <v>1.5</v>
      </c>
      <c r="J101" s="3015" t="s">
        <v>319</v>
      </c>
      <c r="K101" s="3016"/>
      <c r="L101" s="3024" t="s">
        <v>1315</v>
      </c>
      <c r="M101" s="3025"/>
      <c r="N101" s="3026"/>
      <c r="O101" s="2030"/>
      <c r="P101" s="1387"/>
      <c r="Q101" s="1387"/>
      <c r="R101" s="1388"/>
      <c r="S101" s="1229">
        <f>IF(AND(F101&lt;&gt;"",C101&lt;&gt;""),IF(AND(F101="ระดับชาติ",C101&lt;&gt;""),3,IF(AND(F101="ระดับนานาชาติ",C101&lt;&gt;""),5,0)),0)</f>
        <v>3</v>
      </c>
      <c r="T101" s="1229" t="str">
        <f>IF(J101&lt;&gt;"",MID(J101,1,3),"")</f>
        <v>0.4</v>
      </c>
      <c r="U101" s="1229">
        <f>IF(S101&lt;&gt;0,IF(T101&lt;&gt;"",IF(OR(T101="0.2",T101="0.4",T101="0.6"),1,IF(T101="0.8",2,IF(T101="1.0",3,0))),0),0)</f>
        <v>1</v>
      </c>
      <c r="V101" s="1229">
        <f>IF(O101="",0,IF(U101=1,IF(AND(O101&gt;=$S$21,O101&lt;=$T$21),1,0),IF(U101=2,IF(AND(O101&gt;=$S$21,O101&lt;=$T$21),1,0),IF(U101=3,IF(AND(O101&gt;=$S$21,O101&lt;=$T$21),1,0),0))))</f>
        <v>0</v>
      </c>
      <c r="W101" s="1229">
        <f>IF(U101&lt;&gt;0,1,0)</f>
        <v>1</v>
      </c>
      <c r="X101" s="1229">
        <f>IF(OR(U101=2,U101=3),1,0)</f>
        <v>0</v>
      </c>
      <c r="Y101" s="1230"/>
      <c r="Z101" s="1230"/>
      <c r="AA101" s="1230"/>
    </row>
    <row r="102" spans="2:27" s="1231" customFormat="1" x14ac:dyDescent="0.2">
      <c r="B102" s="1385" t="s">
        <v>840</v>
      </c>
      <c r="C102" s="3012" t="s">
        <v>1311</v>
      </c>
      <c r="D102" s="3013"/>
      <c r="E102" s="3014"/>
      <c r="F102" s="1386" t="s">
        <v>290</v>
      </c>
      <c r="G102" s="1322">
        <f t="shared" ref="G102:G120" si="33">IF(F102="",0,IF(F102="ระดับชาติ",45,IF(F102="ระดับนานาชาติ",90,45)))</f>
        <v>45</v>
      </c>
      <c r="H102" s="1222">
        <f t="shared" ref="H102:H120" si="34">IF(C102&lt;&gt;"",G102/2,0)</f>
        <v>22.5</v>
      </c>
      <c r="I102" s="1223">
        <f t="shared" si="32"/>
        <v>1.5</v>
      </c>
      <c r="J102" s="3015" t="s">
        <v>319</v>
      </c>
      <c r="K102" s="3016"/>
      <c r="L102" s="3024" t="s">
        <v>1316</v>
      </c>
      <c r="M102" s="3025"/>
      <c r="N102" s="3026"/>
      <c r="O102" s="2030"/>
      <c r="P102" s="1387"/>
      <c r="Q102" s="1387"/>
      <c r="R102" s="1388"/>
      <c r="S102" s="1229">
        <f t="shared" ref="S102:S120" si="35">IF(AND(F102&lt;&gt;"",C102&lt;&gt;""),IF(AND(F102="ระดับชาติ",C102&lt;&gt;""),3,IF(AND(F102="ระดับนานาชาติ",C102&lt;&gt;""),5,0)),0)</f>
        <v>3</v>
      </c>
      <c r="T102" s="1229" t="str">
        <f t="shared" ref="T102:T120" si="36">IF(J102&lt;&gt;"",MID(J102,1,3),"")</f>
        <v>0.4</v>
      </c>
      <c r="U102" s="1229">
        <f t="shared" ref="U102:U165" si="37">IF(S102&lt;&gt;0,IF(T102&lt;&gt;"",IF(OR(T102="0.2",T102="0.4",T102="0.6"),1,IF(T102="0.8",2,IF(T102="1.0",3,0))),0),0)</f>
        <v>1</v>
      </c>
      <c r="V102" s="1229">
        <f t="shared" ref="V102:V120" si="38">IF(O102="",0,IF(U102=1,IF(AND(O102&gt;=$S$21,O102&lt;=$T$21),1,0),IF(U102=2,IF(AND(O102&gt;=$S$21,O102&lt;=$T$21),1,0),IF(U102=3,IF(AND(O102&gt;=$S$21,O102&lt;=$T$21),1,0),0))))</f>
        <v>0</v>
      </c>
      <c r="W102" s="1229">
        <f t="shared" ref="W102:W120" si="39">IF(U102&lt;&gt;0,1,0)</f>
        <v>1</v>
      </c>
      <c r="X102" s="1229">
        <f t="shared" ref="X102:X119" si="40">IF(OR(U102=2,U102=3),1,0)</f>
        <v>0</v>
      </c>
      <c r="Y102" s="1230"/>
      <c r="Z102" s="1230"/>
      <c r="AA102" s="1230"/>
    </row>
    <row r="103" spans="2:27" s="1231" customFormat="1" x14ac:dyDescent="0.2">
      <c r="B103" s="1385" t="s">
        <v>841</v>
      </c>
      <c r="C103" s="3012" t="s">
        <v>1312</v>
      </c>
      <c r="D103" s="3013"/>
      <c r="E103" s="3014"/>
      <c r="F103" s="1386" t="s">
        <v>290</v>
      </c>
      <c r="G103" s="1322">
        <f t="shared" si="33"/>
        <v>45</v>
      </c>
      <c r="H103" s="1222">
        <f t="shared" si="34"/>
        <v>22.5</v>
      </c>
      <c r="I103" s="1223">
        <f t="shared" si="32"/>
        <v>1.5</v>
      </c>
      <c r="J103" s="3015" t="s">
        <v>319</v>
      </c>
      <c r="K103" s="3016"/>
      <c r="L103" s="3024" t="s">
        <v>1314</v>
      </c>
      <c r="M103" s="3025"/>
      <c r="N103" s="3026"/>
      <c r="O103" s="2030">
        <v>241397</v>
      </c>
      <c r="P103" s="1387"/>
      <c r="Q103" s="1387"/>
      <c r="R103" s="1388"/>
      <c r="S103" s="1229">
        <f t="shared" si="35"/>
        <v>3</v>
      </c>
      <c r="T103" s="1229" t="str">
        <f t="shared" si="36"/>
        <v>0.4</v>
      </c>
      <c r="U103" s="1229">
        <f t="shared" si="37"/>
        <v>1</v>
      </c>
      <c r="V103" s="1229">
        <f t="shared" si="38"/>
        <v>1</v>
      </c>
      <c r="W103" s="1229">
        <f t="shared" si="39"/>
        <v>1</v>
      </c>
      <c r="X103" s="1229">
        <f t="shared" si="40"/>
        <v>0</v>
      </c>
      <c r="Y103" s="1230"/>
      <c r="Z103" s="1230"/>
      <c r="AA103" s="1230"/>
    </row>
    <row r="104" spans="2:27" s="1231" customFormat="1" x14ac:dyDescent="0.2">
      <c r="B104" s="1385" t="s">
        <v>842</v>
      </c>
      <c r="C104" s="3012" t="s">
        <v>1313</v>
      </c>
      <c r="D104" s="3013"/>
      <c r="E104" s="3014"/>
      <c r="F104" s="1386" t="s">
        <v>290</v>
      </c>
      <c r="G104" s="1322">
        <f t="shared" si="33"/>
        <v>45</v>
      </c>
      <c r="H104" s="1222">
        <f t="shared" si="34"/>
        <v>22.5</v>
      </c>
      <c r="I104" s="1223">
        <f t="shared" si="32"/>
        <v>1.5</v>
      </c>
      <c r="J104" s="3015" t="s">
        <v>319</v>
      </c>
      <c r="K104" s="3016"/>
      <c r="L104" s="3024" t="s">
        <v>1314</v>
      </c>
      <c r="M104" s="3025"/>
      <c r="N104" s="3026"/>
      <c r="O104" s="2030">
        <v>241397</v>
      </c>
      <c r="P104" s="1387"/>
      <c r="Q104" s="1387"/>
      <c r="R104" s="1388"/>
      <c r="S104" s="1229">
        <f t="shared" si="35"/>
        <v>3</v>
      </c>
      <c r="T104" s="1229" t="str">
        <f t="shared" si="36"/>
        <v>0.4</v>
      </c>
      <c r="U104" s="1229">
        <f t="shared" si="37"/>
        <v>1</v>
      </c>
      <c r="V104" s="1229">
        <f t="shared" si="38"/>
        <v>1</v>
      </c>
      <c r="W104" s="1229">
        <f t="shared" si="39"/>
        <v>1</v>
      </c>
      <c r="X104" s="1229">
        <f t="shared" si="40"/>
        <v>0</v>
      </c>
      <c r="Y104" s="1230"/>
      <c r="Z104" s="1230"/>
      <c r="AA104" s="1230"/>
    </row>
    <row r="105" spans="2:27" s="1231" customFormat="1" x14ac:dyDescent="0.2">
      <c r="B105" s="1385" t="s">
        <v>843</v>
      </c>
      <c r="C105" s="3012"/>
      <c r="D105" s="3013"/>
      <c r="E105" s="3014"/>
      <c r="F105" s="1386"/>
      <c r="G105" s="1322">
        <f t="shared" si="33"/>
        <v>0</v>
      </c>
      <c r="H105" s="1222">
        <f t="shared" si="34"/>
        <v>0</v>
      </c>
      <c r="I105" s="1223">
        <f t="shared" si="32"/>
        <v>0</v>
      </c>
      <c r="J105" s="3015"/>
      <c r="K105" s="3016"/>
      <c r="L105" s="3024"/>
      <c r="M105" s="3025"/>
      <c r="N105" s="3026"/>
      <c r="O105" s="2030"/>
      <c r="P105" s="1387"/>
      <c r="Q105" s="1387"/>
      <c r="R105" s="1388"/>
      <c r="S105" s="1229">
        <f t="shared" si="35"/>
        <v>0</v>
      </c>
      <c r="T105" s="1229" t="str">
        <f t="shared" si="36"/>
        <v/>
      </c>
      <c r="U105" s="1229">
        <f t="shared" si="37"/>
        <v>0</v>
      </c>
      <c r="V105" s="1229">
        <f t="shared" si="38"/>
        <v>0</v>
      </c>
      <c r="W105" s="1229">
        <f t="shared" si="39"/>
        <v>0</v>
      </c>
      <c r="X105" s="1229">
        <f t="shared" si="40"/>
        <v>0</v>
      </c>
      <c r="Y105" s="1230"/>
      <c r="Z105" s="1230"/>
      <c r="AA105" s="1230"/>
    </row>
    <row r="106" spans="2:27" s="1231" customFormat="1" x14ac:dyDescent="0.2">
      <c r="B106" s="1385" t="s">
        <v>844</v>
      </c>
      <c r="C106" s="3012"/>
      <c r="D106" s="3013"/>
      <c r="E106" s="3014"/>
      <c r="F106" s="1386"/>
      <c r="G106" s="1322">
        <f t="shared" si="33"/>
        <v>0</v>
      </c>
      <c r="H106" s="1222">
        <f t="shared" si="34"/>
        <v>0</v>
      </c>
      <c r="I106" s="1223">
        <f t="shared" si="32"/>
        <v>0</v>
      </c>
      <c r="J106" s="3015"/>
      <c r="K106" s="3016"/>
      <c r="L106" s="3024"/>
      <c r="M106" s="3025"/>
      <c r="N106" s="3026"/>
      <c r="O106" s="2030"/>
      <c r="P106" s="1387"/>
      <c r="Q106" s="1387"/>
      <c r="R106" s="1388"/>
      <c r="S106" s="1229">
        <f t="shared" si="35"/>
        <v>0</v>
      </c>
      <c r="T106" s="1229" t="str">
        <f t="shared" si="36"/>
        <v/>
      </c>
      <c r="U106" s="1229">
        <f t="shared" si="37"/>
        <v>0</v>
      </c>
      <c r="V106" s="1229">
        <f t="shared" si="38"/>
        <v>0</v>
      </c>
      <c r="W106" s="1229">
        <f t="shared" si="39"/>
        <v>0</v>
      </c>
      <c r="X106" s="1229">
        <f t="shared" si="40"/>
        <v>0</v>
      </c>
      <c r="Y106" s="1230"/>
      <c r="Z106" s="1230"/>
      <c r="AA106" s="1230"/>
    </row>
    <row r="107" spans="2:27" s="1231" customFormat="1" x14ac:dyDescent="0.2">
      <c r="B107" s="1385" t="s">
        <v>845</v>
      </c>
      <c r="C107" s="3012"/>
      <c r="D107" s="3013"/>
      <c r="E107" s="3014"/>
      <c r="F107" s="1386"/>
      <c r="G107" s="1322">
        <f t="shared" si="33"/>
        <v>0</v>
      </c>
      <c r="H107" s="1222">
        <f t="shared" si="34"/>
        <v>0</v>
      </c>
      <c r="I107" s="1223">
        <f t="shared" si="32"/>
        <v>0</v>
      </c>
      <c r="J107" s="3015"/>
      <c r="K107" s="3016"/>
      <c r="L107" s="3024"/>
      <c r="M107" s="3025"/>
      <c r="N107" s="3026"/>
      <c r="O107" s="2030"/>
      <c r="P107" s="1387"/>
      <c r="Q107" s="1387"/>
      <c r="R107" s="1388"/>
      <c r="S107" s="1229">
        <f t="shared" si="35"/>
        <v>0</v>
      </c>
      <c r="T107" s="1229" t="str">
        <f t="shared" si="36"/>
        <v/>
      </c>
      <c r="U107" s="1229">
        <f t="shared" si="37"/>
        <v>0</v>
      </c>
      <c r="V107" s="1229">
        <f t="shared" si="38"/>
        <v>0</v>
      </c>
      <c r="W107" s="1229">
        <f t="shared" si="39"/>
        <v>0</v>
      </c>
      <c r="X107" s="1229">
        <f t="shared" si="40"/>
        <v>0</v>
      </c>
      <c r="Y107" s="1230"/>
      <c r="Z107" s="1230"/>
      <c r="AA107" s="1230"/>
    </row>
    <row r="108" spans="2:27" s="1231" customFormat="1" x14ac:dyDescent="0.2">
      <c r="B108" s="1385" t="s">
        <v>846</v>
      </c>
      <c r="C108" s="3012"/>
      <c r="D108" s="3013"/>
      <c r="E108" s="3014"/>
      <c r="F108" s="1386"/>
      <c r="G108" s="1322">
        <f t="shared" si="33"/>
        <v>0</v>
      </c>
      <c r="H108" s="1222">
        <f t="shared" si="34"/>
        <v>0</v>
      </c>
      <c r="I108" s="1223">
        <f t="shared" si="32"/>
        <v>0</v>
      </c>
      <c r="J108" s="3015"/>
      <c r="K108" s="3016"/>
      <c r="L108" s="3024"/>
      <c r="M108" s="3025"/>
      <c r="N108" s="3026"/>
      <c r="O108" s="2030"/>
      <c r="P108" s="1387"/>
      <c r="Q108" s="1387"/>
      <c r="R108" s="1388"/>
      <c r="S108" s="1229">
        <f t="shared" si="35"/>
        <v>0</v>
      </c>
      <c r="T108" s="1229" t="str">
        <f t="shared" si="36"/>
        <v/>
      </c>
      <c r="U108" s="1229">
        <f t="shared" si="37"/>
        <v>0</v>
      </c>
      <c r="V108" s="1229">
        <f t="shared" si="38"/>
        <v>0</v>
      </c>
      <c r="W108" s="1229">
        <f t="shared" si="39"/>
        <v>0</v>
      </c>
      <c r="X108" s="1229">
        <f t="shared" si="40"/>
        <v>0</v>
      </c>
      <c r="Y108" s="1230"/>
      <c r="Z108" s="1230"/>
      <c r="AA108" s="1230"/>
    </row>
    <row r="109" spans="2:27" s="1231" customFormat="1" x14ac:dyDescent="0.2">
      <c r="B109" s="1385" t="s">
        <v>847</v>
      </c>
      <c r="C109" s="3012"/>
      <c r="D109" s="3013"/>
      <c r="E109" s="3014"/>
      <c r="F109" s="1386"/>
      <c r="G109" s="1322">
        <f t="shared" si="33"/>
        <v>0</v>
      </c>
      <c r="H109" s="1222">
        <f t="shared" si="34"/>
        <v>0</v>
      </c>
      <c r="I109" s="1223">
        <f t="shared" si="32"/>
        <v>0</v>
      </c>
      <c r="J109" s="3015"/>
      <c r="K109" s="3016"/>
      <c r="L109" s="3024"/>
      <c r="M109" s="3025"/>
      <c r="N109" s="3026"/>
      <c r="O109" s="2030"/>
      <c r="P109" s="1387"/>
      <c r="Q109" s="1387"/>
      <c r="R109" s="1388"/>
      <c r="S109" s="1229">
        <f t="shared" si="35"/>
        <v>0</v>
      </c>
      <c r="T109" s="1229" t="str">
        <f t="shared" si="36"/>
        <v/>
      </c>
      <c r="U109" s="1229">
        <f t="shared" si="37"/>
        <v>0</v>
      </c>
      <c r="V109" s="1229">
        <f t="shared" si="38"/>
        <v>0</v>
      </c>
      <c r="W109" s="1229">
        <f t="shared" si="39"/>
        <v>0</v>
      </c>
      <c r="X109" s="1229">
        <f t="shared" si="40"/>
        <v>0</v>
      </c>
      <c r="Y109" s="1230"/>
      <c r="Z109" s="1230"/>
      <c r="AA109" s="1230"/>
    </row>
    <row r="110" spans="2:27" s="1231" customFormat="1" x14ac:dyDescent="0.2">
      <c r="B110" s="1385" t="s">
        <v>848</v>
      </c>
      <c r="C110" s="3012"/>
      <c r="D110" s="3013"/>
      <c r="E110" s="3014"/>
      <c r="F110" s="1386"/>
      <c r="G110" s="1322">
        <f t="shared" si="33"/>
        <v>0</v>
      </c>
      <c r="H110" s="1222">
        <f t="shared" si="34"/>
        <v>0</v>
      </c>
      <c r="I110" s="1223">
        <f t="shared" si="32"/>
        <v>0</v>
      </c>
      <c r="J110" s="3015"/>
      <c r="K110" s="3016"/>
      <c r="L110" s="3024"/>
      <c r="M110" s="3025"/>
      <c r="N110" s="3026"/>
      <c r="O110" s="2030"/>
      <c r="P110" s="1387"/>
      <c r="Q110" s="1387"/>
      <c r="R110" s="1388"/>
      <c r="S110" s="1229">
        <f t="shared" si="35"/>
        <v>0</v>
      </c>
      <c r="T110" s="1229" t="str">
        <f t="shared" si="36"/>
        <v/>
      </c>
      <c r="U110" s="1229">
        <f t="shared" si="37"/>
        <v>0</v>
      </c>
      <c r="V110" s="1229">
        <f t="shared" si="38"/>
        <v>0</v>
      </c>
      <c r="W110" s="1229">
        <f t="shared" si="39"/>
        <v>0</v>
      </c>
      <c r="X110" s="1229">
        <f t="shared" si="40"/>
        <v>0</v>
      </c>
      <c r="Y110" s="1230"/>
      <c r="Z110" s="1230"/>
      <c r="AA110" s="1230"/>
    </row>
    <row r="111" spans="2:27" s="1217" customFormat="1" x14ac:dyDescent="0.2">
      <c r="B111" s="1385" t="s">
        <v>849</v>
      </c>
      <c r="C111" s="3035"/>
      <c r="D111" s="3036"/>
      <c r="E111" s="3037"/>
      <c r="F111" s="1389"/>
      <c r="G111" s="1322">
        <f t="shared" si="33"/>
        <v>0</v>
      </c>
      <c r="H111" s="1222">
        <f t="shared" si="34"/>
        <v>0</v>
      </c>
      <c r="I111" s="1390">
        <f t="shared" si="32"/>
        <v>0</v>
      </c>
      <c r="J111" s="3015"/>
      <c r="K111" s="3016"/>
      <c r="L111" s="3024"/>
      <c r="M111" s="3025"/>
      <c r="N111" s="3026"/>
      <c r="O111" s="2031"/>
      <c r="P111" s="1391"/>
      <c r="Q111" s="1391"/>
      <c r="R111" s="1392"/>
      <c r="S111" s="1229">
        <f t="shared" si="35"/>
        <v>0</v>
      </c>
      <c r="T111" s="1229" t="str">
        <f t="shared" si="36"/>
        <v/>
      </c>
      <c r="U111" s="1229">
        <f t="shared" si="37"/>
        <v>0</v>
      </c>
      <c r="V111" s="1229">
        <f t="shared" si="38"/>
        <v>0</v>
      </c>
      <c r="W111" s="1229">
        <f t="shared" si="39"/>
        <v>0</v>
      </c>
      <c r="X111" s="1229">
        <f t="shared" si="40"/>
        <v>0</v>
      </c>
      <c r="Y111" s="1216"/>
      <c r="Z111" s="1216"/>
      <c r="AA111" s="1216"/>
    </row>
    <row r="112" spans="2:27" s="1217" customFormat="1" x14ac:dyDescent="0.2">
      <c r="B112" s="1385" t="s">
        <v>850</v>
      </c>
      <c r="C112" s="3035"/>
      <c r="D112" s="3036"/>
      <c r="E112" s="3037"/>
      <c r="F112" s="1389"/>
      <c r="G112" s="1322">
        <f t="shared" si="33"/>
        <v>0</v>
      </c>
      <c r="H112" s="1222">
        <f t="shared" si="34"/>
        <v>0</v>
      </c>
      <c r="I112" s="1390">
        <f t="shared" si="32"/>
        <v>0</v>
      </c>
      <c r="J112" s="3015"/>
      <c r="K112" s="3016"/>
      <c r="L112" s="3024"/>
      <c r="M112" s="3025"/>
      <c r="N112" s="3026"/>
      <c r="O112" s="2031"/>
      <c r="P112" s="1391"/>
      <c r="Q112" s="1391"/>
      <c r="R112" s="1392"/>
      <c r="S112" s="1229">
        <f t="shared" si="35"/>
        <v>0</v>
      </c>
      <c r="T112" s="1229" t="str">
        <f t="shared" si="36"/>
        <v/>
      </c>
      <c r="U112" s="1229">
        <f t="shared" si="37"/>
        <v>0</v>
      </c>
      <c r="V112" s="1229">
        <f t="shared" si="38"/>
        <v>0</v>
      </c>
      <c r="W112" s="1229">
        <f t="shared" si="39"/>
        <v>0</v>
      </c>
      <c r="X112" s="1229">
        <f t="shared" si="40"/>
        <v>0</v>
      </c>
      <c r="Y112" s="1216"/>
      <c r="Z112" s="1216"/>
      <c r="AA112" s="1216"/>
    </row>
    <row r="113" spans="2:27" s="1217" customFormat="1" x14ac:dyDescent="0.2">
      <c r="B113" s="1385" t="s">
        <v>851</v>
      </c>
      <c r="C113" s="3035"/>
      <c r="D113" s="3036"/>
      <c r="E113" s="3037"/>
      <c r="F113" s="1389"/>
      <c r="G113" s="1322">
        <f t="shared" si="33"/>
        <v>0</v>
      </c>
      <c r="H113" s="1222">
        <f t="shared" si="34"/>
        <v>0</v>
      </c>
      <c r="I113" s="1390">
        <f t="shared" si="32"/>
        <v>0</v>
      </c>
      <c r="J113" s="3015"/>
      <c r="K113" s="3016"/>
      <c r="L113" s="3024"/>
      <c r="M113" s="3025"/>
      <c r="N113" s="3026"/>
      <c r="O113" s="2031"/>
      <c r="P113" s="1391"/>
      <c r="Q113" s="1391"/>
      <c r="R113" s="1392"/>
      <c r="S113" s="1229">
        <f t="shared" si="35"/>
        <v>0</v>
      </c>
      <c r="T113" s="1229" t="str">
        <f t="shared" si="36"/>
        <v/>
      </c>
      <c r="U113" s="1229">
        <f t="shared" si="37"/>
        <v>0</v>
      </c>
      <c r="V113" s="1229">
        <f t="shared" si="38"/>
        <v>0</v>
      </c>
      <c r="W113" s="1229">
        <f t="shared" si="39"/>
        <v>0</v>
      </c>
      <c r="X113" s="1229">
        <f t="shared" si="40"/>
        <v>0</v>
      </c>
      <c r="Y113" s="1216"/>
      <c r="Z113" s="1216"/>
      <c r="AA113" s="1216"/>
    </row>
    <row r="114" spans="2:27" s="1217" customFormat="1" x14ac:dyDescent="0.2">
      <c r="B114" s="1385" t="s">
        <v>852</v>
      </c>
      <c r="C114" s="3035"/>
      <c r="D114" s="3036"/>
      <c r="E114" s="3037"/>
      <c r="F114" s="1389"/>
      <c r="G114" s="1322">
        <f t="shared" si="33"/>
        <v>0</v>
      </c>
      <c r="H114" s="1222">
        <f t="shared" si="34"/>
        <v>0</v>
      </c>
      <c r="I114" s="1390">
        <f t="shared" si="32"/>
        <v>0</v>
      </c>
      <c r="J114" s="3015"/>
      <c r="K114" s="3016"/>
      <c r="L114" s="3024"/>
      <c r="M114" s="3025"/>
      <c r="N114" s="3026"/>
      <c r="O114" s="2031"/>
      <c r="P114" s="1391"/>
      <c r="Q114" s="1391"/>
      <c r="R114" s="1392"/>
      <c r="S114" s="1229">
        <f t="shared" si="35"/>
        <v>0</v>
      </c>
      <c r="T114" s="1229" t="str">
        <f t="shared" si="36"/>
        <v/>
      </c>
      <c r="U114" s="1229">
        <f t="shared" si="37"/>
        <v>0</v>
      </c>
      <c r="V114" s="1229">
        <f t="shared" si="38"/>
        <v>0</v>
      </c>
      <c r="W114" s="1229">
        <f t="shared" si="39"/>
        <v>0</v>
      </c>
      <c r="X114" s="1229">
        <f t="shared" si="40"/>
        <v>0</v>
      </c>
      <c r="Y114" s="1216"/>
      <c r="Z114" s="1216"/>
      <c r="AA114" s="1216"/>
    </row>
    <row r="115" spans="2:27" s="1217" customFormat="1" x14ac:dyDescent="0.2">
      <c r="B115" s="1385" t="s">
        <v>853</v>
      </c>
      <c r="C115" s="3035"/>
      <c r="D115" s="3036"/>
      <c r="E115" s="3037"/>
      <c r="F115" s="1389"/>
      <c r="G115" s="1322">
        <f t="shared" si="33"/>
        <v>0</v>
      </c>
      <c r="H115" s="1222">
        <f t="shared" si="34"/>
        <v>0</v>
      </c>
      <c r="I115" s="1390">
        <f t="shared" si="32"/>
        <v>0</v>
      </c>
      <c r="J115" s="3015"/>
      <c r="K115" s="3016"/>
      <c r="L115" s="3024"/>
      <c r="M115" s="3025"/>
      <c r="N115" s="3026"/>
      <c r="O115" s="2031"/>
      <c r="P115" s="1391"/>
      <c r="Q115" s="1391"/>
      <c r="R115" s="1392"/>
      <c r="S115" s="1229">
        <f t="shared" si="35"/>
        <v>0</v>
      </c>
      <c r="T115" s="1229" t="str">
        <f t="shared" si="36"/>
        <v/>
      </c>
      <c r="U115" s="1229">
        <f t="shared" si="37"/>
        <v>0</v>
      </c>
      <c r="V115" s="1229">
        <f t="shared" si="38"/>
        <v>0</v>
      </c>
      <c r="W115" s="1229">
        <f t="shared" si="39"/>
        <v>0</v>
      </c>
      <c r="X115" s="1229">
        <f t="shared" si="40"/>
        <v>0</v>
      </c>
      <c r="Y115" s="1216"/>
      <c r="Z115" s="1216"/>
      <c r="AA115" s="1216"/>
    </row>
    <row r="116" spans="2:27" s="1217" customFormat="1" x14ac:dyDescent="0.2">
      <c r="B116" s="1385" t="s">
        <v>854</v>
      </c>
      <c r="C116" s="3035"/>
      <c r="D116" s="3036"/>
      <c r="E116" s="3037"/>
      <c r="F116" s="1389"/>
      <c r="G116" s="1322">
        <f t="shared" si="33"/>
        <v>0</v>
      </c>
      <c r="H116" s="1222">
        <f t="shared" si="34"/>
        <v>0</v>
      </c>
      <c r="I116" s="1390">
        <f t="shared" si="32"/>
        <v>0</v>
      </c>
      <c r="J116" s="3015"/>
      <c r="K116" s="3016"/>
      <c r="L116" s="3024"/>
      <c r="M116" s="3025"/>
      <c r="N116" s="3026"/>
      <c r="O116" s="2031"/>
      <c r="P116" s="1391"/>
      <c r="Q116" s="1391"/>
      <c r="R116" s="1392"/>
      <c r="S116" s="1229">
        <f t="shared" si="35"/>
        <v>0</v>
      </c>
      <c r="T116" s="1229" t="str">
        <f t="shared" si="36"/>
        <v/>
      </c>
      <c r="U116" s="1229">
        <f t="shared" si="37"/>
        <v>0</v>
      </c>
      <c r="V116" s="1229">
        <f t="shared" si="38"/>
        <v>0</v>
      </c>
      <c r="W116" s="1229">
        <f t="shared" si="39"/>
        <v>0</v>
      </c>
      <c r="X116" s="1229">
        <f t="shared" si="40"/>
        <v>0</v>
      </c>
      <c r="Y116" s="1216"/>
      <c r="Z116" s="1216"/>
      <c r="AA116" s="1216"/>
    </row>
    <row r="117" spans="2:27" s="1217" customFormat="1" x14ac:dyDescent="0.2">
      <c r="B117" s="1385" t="s">
        <v>855</v>
      </c>
      <c r="C117" s="3035"/>
      <c r="D117" s="3036"/>
      <c r="E117" s="3037"/>
      <c r="F117" s="1389"/>
      <c r="G117" s="1322">
        <f t="shared" si="33"/>
        <v>0</v>
      </c>
      <c r="H117" s="1222">
        <f t="shared" si="34"/>
        <v>0</v>
      </c>
      <c r="I117" s="1390">
        <f t="shared" si="32"/>
        <v>0</v>
      </c>
      <c r="J117" s="3015"/>
      <c r="K117" s="3016"/>
      <c r="L117" s="3024"/>
      <c r="M117" s="3025"/>
      <c r="N117" s="3026"/>
      <c r="O117" s="2031"/>
      <c r="P117" s="1391"/>
      <c r="Q117" s="1391"/>
      <c r="R117" s="1392"/>
      <c r="S117" s="1229">
        <f t="shared" si="35"/>
        <v>0</v>
      </c>
      <c r="T117" s="1229" t="str">
        <f t="shared" si="36"/>
        <v/>
      </c>
      <c r="U117" s="1229">
        <f t="shared" si="37"/>
        <v>0</v>
      </c>
      <c r="V117" s="1229">
        <f t="shared" si="38"/>
        <v>0</v>
      </c>
      <c r="W117" s="1229">
        <f t="shared" si="39"/>
        <v>0</v>
      </c>
      <c r="X117" s="1229">
        <f t="shared" si="40"/>
        <v>0</v>
      </c>
      <c r="Y117" s="1216"/>
      <c r="Z117" s="1216"/>
      <c r="AA117" s="1216"/>
    </row>
    <row r="118" spans="2:27" s="1217" customFormat="1" x14ac:dyDescent="0.2">
      <c r="B118" s="1385" t="s">
        <v>856</v>
      </c>
      <c r="C118" s="3035"/>
      <c r="D118" s="3036"/>
      <c r="E118" s="3037"/>
      <c r="F118" s="1389"/>
      <c r="G118" s="1322">
        <f t="shared" si="33"/>
        <v>0</v>
      </c>
      <c r="H118" s="1222">
        <f t="shared" si="34"/>
        <v>0</v>
      </c>
      <c r="I118" s="1390">
        <f t="shared" si="32"/>
        <v>0</v>
      </c>
      <c r="J118" s="3015"/>
      <c r="K118" s="3016"/>
      <c r="L118" s="3024"/>
      <c r="M118" s="3025"/>
      <c r="N118" s="3026"/>
      <c r="O118" s="2031"/>
      <c r="P118" s="1391"/>
      <c r="Q118" s="1391"/>
      <c r="R118" s="1392"/>
      <c r="S118" s="1229">
        <f t="shared" si="35"/>
        <v>0</v>
      </c>
      <c r="T118" s="1229" t="str">
        <f t="shared" si="36"/>
        <v/>
      </c>
      <c r="U118" s="1229">
        <f t="shared" si="37"/>
        <v>0</v>
      </c>
      <c r="V118" s="1229">
        <f t="shared" si="38"/>
        <v>0</v>
      </c>
      <c r="W118" s="1229">
        <f t="shared" si="39"/>
        <v>0</v>
      </c>
      <c r="X118" s="1229">
        <f t="shared" si="40"/>
        <v>0</v>
      </c>
      <c r="Y118" s="1216"/>
      <c r="Z118" s="1216"/>
      <c r="AA118" s="1216"/>
    </row>
    <row r="119" spans="2:27" s="1217" customFormat="1" x14ac:dyDescent="0.2">
      <c r="B119" s="1385" t="s">
        <v>857</v>
      </c>
      <c r="C119" s="3035"/>
      <c r="D119" s="3036"/>
      <c r="E119" s="3037"/>
      <c r="F119" s="1389"/>
      <c r="G119" s="1322">
        <f t="shared" si="33"/>
        <v>0</v>
      </c>
      <c r="H119" s="1222">
        <f t="shared" si="34"/>
        <v>0</v>
      </c>
      <c r="I119" s="1390">
        <f t="shared" si="32"/>
        <v>0</v>
      </c>
      <c r="J119" s="3015"/>
      <c r="K119" s="3016"/>
      <c r="L119" s="3024"/>
      <c r="M119" s="3025"/>
      <c r="N119" s="3026"/>
      <c r="O119" s="2031"/>
      <c r="P119" s="1391"/>
      <c r="Q119" s="1391"/>
      <c r="R119" s="1392"/>
      <c r="S119" s="1229">
        <f t="shared" si="35"/>
        <v>0</v>
      </c>
      <c r="T119" s="1229" t="str">
        <f t="shared" si="36"/>
        <v/>
      </c>
      <c r="U119" s="1229">
        <f t="shared" si="37"/>
        <v>0</v>
      </c>
      <c r="V119" s="1229">
        <f t="shared" si="38"/>
        <v>0</v>
      </c>
      <c r="W119" s="1229">
        <f t="shared" si="39"/>
        <v>0</v>
      </c>
      <c r="X119" s="1229">
        <f t="shared" si="40"/>
        <v>0</v>
      </c>
      <c r="Y119" s="1216"/>
      <c r="Z119" s="1216"/>
      <c r="AA119" s="1216"/>
    </row>
    <row r="120" spans="2:27" s="1217" customFormat="1" x14ac:dyDescent="0.2">
      <c r="B120" s="1385" t="s">
        <v>858</v>
      </c>
      <c r="C120" s="3035"/>
      <c r="D120" s="3036"/>
      <c r="E120" s="3037"/>
      <c r="F120" s="1389"/>
      <c r="G120" s="1322">
        <f t="shared" si="33"/>
        <v>0</v>
      </c>
      <c r="H120" s="1222">
        <f t="shared" si="34"/>
        <v>0</v>
      </c>
      <c r="I120" s="1390">
        <f t="shared" si="32"/>
        <v>0</v>
      </c>
      <c r="J120" s="3015"/>
      <c r="K120" s="3016"/>
      <c r="L120" s="3024"/>
      <c r="M120" s="3025"/>
      <c r="N120" s="3026"/>
      <c r="O120" s="2031"/>
      <c r="P120" s="1391"/>
      <c r="Q120" s="1391"/>
      <c r="R120" s="1392"/>
      <c r="S120" s="1229">
        <f t="shared" si="35"/>
        <v>0</v>
      </c>
      <c r="T120" s="1229" t="str">
        <f t="shared" si="36"/>
        <v/>
      </c>
      <c r="U120" s="1229">
        <f t="shared" si="37"/>
        <v>0</v>
      </c>
      <c r="V120" s="1229">
        <f t="shared" si="38"/>
        <v>0</v>
      </c>
      <c r="W120" s="1229">
        <f t="shared" si="39"/>
        <v>0</v>
      </c>
      <c r="X120" s="1229">
        <f>IF(OR(U120=2,U120=3),1,0)</f>
        <v>0</v>
      </c>
      <c r="Y120" s="1216"/>
      <c r="Z120" s="1216"/>
      <c r="AA120" s="1216"/>
    </row>
    <row r="121" spans="2:27" s="1217" customFormat="1" ht="21" customHeight="1" x14ac:dyDescent="0.2">
      <c r="B121" s="1393"/>
      <c r="C121" s="1394"/>
      <c r="D121" s="1394"/>
      <c r="E121" s="1395"/>
      <c r="F121" s="1396"/>
      <c r="G121" s="1397" t="s">
        <v>859</v>
      </c>
      <c r="H121" s="1398">
        <f>SUM(H101:H120)</f>
        <v>90</v>
      </c>
      <c r="I121" s="1399">
        <f>SUM(I101:I120)</f>
        <v>6</v>
      </c>
      <c r="J121" s="1400"/>
      <c r="K121" s="1401"/>
      <c r="L121" s="1402"/>
      <c r="M121" s="1651">
        <f>SUM(V101:V120)</f>
        <v>2</v>
      </c>
      <c r="N121" s="1403"/>
      <c r="O121" s="1404"/>
      <c r="P121" s="1405"/>
      <c r="Q121" s="1405"/>
      <c r="R121" s="1406"/>
      <c r="S121" s="1229"/>
      <c r="T121" s="1229"/>
      <c r="U121" s="1229"/>
      <c r="V121" s="1229"/>
      <c r="W121" s="1197">
        <f>SUM(W101:W120)</f>
        <v>4</v>
      </c>
      <c r="X121" s="1197">
        <f>SUM(X101:X120)</f>
        <v>0</v>
      </c>
      <c r="Y121" s="1216"/>
      <c r="Z121" s="1216"/>
      <c r="AA121" s="1216"/>
    </row>
    <row r="122" spans="2:27" s="1304" customFormat="1" ht="12.75" customHeight="1" x14ac:dyDescent="0.2">
      <c r="B122" s="1407"/>
      <c r="C122" s="1408"/>
      <c r="D122" s="1408"/>
      <c r="E122" s="1409"/>
      <c r="F122" s="1410"/>
      <c r="G122" s="1410"/>
      <c r="H122" s="1411"/>
      <c r="I122" s="1408"/>
      <c r="J122" s="1298"/>
      <c r="K122" s="1298"/>
      <c r="L122" s="1298"/>
      <c r="M122" s="1298"/>
      <c r="N122" s="1298"/>
      <c r="O122" s="1298"/>
      <c r="P122" s="1298"/>
      <c r="Q122" s="1298"/>
      <c r="R122" s="1412"/>
      <c r="S122" s="1229"/>
      <c r="T122" s="1229"/>
      <c r="U122" s="1229"/>
      <c r="V122" s="1229"/>
      <c r="W122" s="1302"/>
      <c r="X122" s="1302"/>
      <c r="Y122" s="1302"/>
      <c r="Z122" s="1302"/>
      <c r="AA122" s="1302"/>
    </row>
    <row r="123" spans="2:27" s="1187" customFormat="1" ht="21" customHeight="1" x14ac:dyDescent="0.2">
      <c r="B123" s="1181" t="s">
        <v>860</v>
      </c>
      <c r="C123" s="1182"/>
      <c r="D123" s="1305"/>
      <c r="E123" s="1350"/>
      <c r="F123" s="1350"/>
      <c r="G123" s="1306"/>
      <c r="H123" s="1351"/>
      <c r="I123" s="1352"/>
      <c r="J123" s="2964" t="s">
        <v>861</v>
      </c>
      <c r="K123" s="2965"/>
      <c r="L123" s="2965"/>
      <c r="M123" s="2965"/>
      <c r="N123" s="2965"/>
      <c r="O123" s="2965"/>
      <c r="P123" s="2965"/>
      <c r="Q123" s="2965"/>
      <c r="R123" s="2966"/>
      <c r="S123" s="1229"/>
      <c r="T123" s="1229"/>
      <c r="U123" s="1229"/>
      <c r="V123" s="1229"/>
      <c r="W123" s="1185"/>
      <c r="X123" s="1185"/>
      <c r="Y123" s="1185"/>
      <c r="Z123" s="1185"/>
      <c r="AA123" s="1185"/>
    </row>
    <row r="124" spans="2:27" s="1217" customFormat="1" ht="12.75" customHeight="1" x14ac:dyDescent="0.2">
      <c r="B124" s="1353"/>
      <c r="C124" s="3000" t="s">
        <v>862</v>
      </c>
      <c r="D124" s="3002"/>
      <c r="E124" s="1354" t="s">
        <v>863</v>
      </c>
      <c r="F124" s="1354" t="s">
        <v>864</v>
      </c>
      <c r="G124" s="1355" t="s">
        <v>821</v>
      </c>
      <c r="H124" s="1191" t="s">
        <v>639</v>
      </c>
      <c r="I124" s="1192" t="s">
        <v>639</v>
      </c>
      <c r="J124" s="3038" t="s">
        <v>822</v>
      </c>
      <c r="K124" s="3039"/>
      <c r="L124" s="3000" t="s">
        <v>865</v>
      </c>
      <c r="M124" s="3002"/>
      <c r="N124" s="1189" t="s">
        <v>866</v>
      </c>
      <c r="O124" s="1189" t="s">
        <v>1012</v>
      </c>
      <c r="P124" s="3005" t="s">
        <v>825</v>
      </c>
      <c r="Q124" s="3005"/>
      <c r="R124" s="3006"/>
      <c r="S124" s="1229"/>
      <c r="T124" s="1229"/>
      <c r="U124" s="1229"/>
      <c r="V124" s="1229"/>
      <c r="W124" s="1216"/>
      <c r="X124" s="1216"/>
      <c r="Y124" s="1216"/>
      <c r="Z124" s="1216"/>
      <c r="AA124" s="1216"/>
    </row>
    <row r="125" spans="2:27" s="1364" customFormat="1" x14ac:dyDescent="0.2">
      <c r="B125" s="1356"/>
      <c r="C125" s="1413"/>
      <c r="D125" s="1360"/>
      <c r="E125" s="1360" t="s">
        <v>867</v>
      </c>
      <c r="F125" s="1360" t="s">
        <v>868</v>
      </c>
      <c r="G125" s="1315"/>
      <c r="H125" s="1315" t="s">
        <v>641</v>
      </c>
      <c r="I125" s="1316" t="s">
        <v>510</v>
      </c>
      <c r="J125" s="3017"/>
      <c r="K125" s="3018"/>
      <c r="L125" s="1414"/>
      <c r="M125" s="1415"/>
      <c r="N125" s="1416" t="s">
        <v>867</v>
      </c>
      <c r="O125" s="1416" t="s">
        <v>1013</v>
      </c>
      <c r="P125" s="1189" t="s">
        <v>830</v>
      </c>
      <c r="Q125" s="1189" t="s">
        <v>831</v>
      </c>
      <c r="R125" s="1361" t="s">
        <v>832</v>
      </c>
      <c r="S125" s="1229"/>
      <c r="T125" s="1229"/>
      <c r="U125" s="1229"/>
      <c r="V125" s="1229"/>
      <c r="W125" s="1362"/>
      <c r="X125" s="1362"/>
      <c r="Y125" s="1362"/>
      <c r="Z125" s="1362"/>
      <c r="AA125" s="1362"/>
    </row>
    <row r="126" spans="2:27" s="1209" customFormat="1" x14ac:dyDescent="0.2">
      <c r="B126" s="1199"/>
      <c r="C126" s="1200"/>
      <c r="D126" s="1367"/>
      <c r="E126" s="1367" t="s">
        <v>827</v>
      </c>
      <c r="F126" s="1367" t="s">
        <v>827</v>
      </c>
      <c r="G126" s="1201"/>
      <c r="H126" s="1368"/>
      <c r="I126" s="1321"/>
      <c r="J126" s="1369"/>
      <c r="K126" s="1370"/>
      <c r="L126" s="1371"/>
      <c r="M126" s="1370"/>
      <c r="N126" s="1372" t="s">
        <v>1245</v>
      </c>
      <c r="O126" s="1372" t="s">
        <v>1245</v>
      </c>
      <c r="P126" s="1201"/>
      <c r="Q126" s="1201" t="s">
        <v>833</v>
      </c>
      <c r="R126" s="1373" t="s">
        <v>834</v>
      </c>
      <c r="S126" s="1229"/>
      <c r="T126" s="1229"/>
      <c r="U126" s="1229"/>
      <c r="V126" s="1229"/>
      <c r="W126" s="1207"/>
      <c r="X126" s="1207"/>
      <c r="Y126" s="1207"/>
      <c r="Z126" s="1207"/>
      <c r="AA126" s="1207"/>
    </row>
    <row r="127" spans="2:27" s="1423" customFormat="1" ht="14.25" customHeight="1" x14ac:dyDescent="0.2">
      <c r="B127" s="1417" t="s">
        <v>646</v>
      </c>
      <c r="C127" s="3046" t="s">
        <v>869</v>
      </c>
      <c r="D127" s="3047"/>
      <c r="E127" s="1418" t="s">
        <v>301</v>
      </c>
      <c r="F127" s="1418" t="s">
        <v>290</v>
      </c>
      <c r="G127" s="1419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1420">
        <f>IF(C127&lt;&gt;"",G127/2,0)</f>
        <v>5.25</v>
      </c>
      <c r="I127" s="1421">
        <f t="shared" ref="I127:I147" si="41">H127/15</f>
        <v>0.35</v>
      </c>
      <c r="J127" s="3048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3049"/>
      <c r="L127" s="3050" t="s">
        <v>870</v>
      </c>
      <c r="M127" s="3051"/>
      <c r="N127" s="2032">
        <v>240829</v>
      </c>
      <c r="O127" s="2032">
        <v>240829</v>
      </c>
      <c r="P127" s="1379"/>
      <c r="Q127" s="1379" t="s">
        <v>299</v>
      </c>
      <c r="R127" s="1380" t="s">
        <v>299</v>
      </c>
      <c r="S127" s="1229"/>
      <c r="T127" s="1229"/>
      <c r="U127" s="1229"/>
      <c r="V127" s="1229"/>
      <c r="W127" s="1383" t="s">
        <v>837</v>
      </c>
      <c r="X127" s="1383" t="s">
        <v>838</v>
      </c>
      <c r="Y127" s="1422"/>
      <c r="Z127" s="1422"/>
      <c r="AA127" s="1422"/>
    </row>
    <row r="128" spans="2:27" s="1217" customFormat="1" x14ac:dyDescent="0.2">
      <c r="B128" s="1424" t="s">
        <v>839</v>
      </c>
      <c r="C128" s="3040"/>
      <c r="D128" s="3041"/>
      <c r="E128" s="1389"/>
      <c r="F128" s="1389"/>
      <c r="G128" s="1425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0</v>
      </c>
      <c r="H128" s="1426">
        <f>IF(C128&lt;&gt;"",G128/2,0)</f>
        <v>0</v>
      </c>
      <c r="I128" s="1390">
        <f t="shared" si="41"/>
        <v>0</v>
      </c>
      <c r="J128" s="3042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/>
      </c>
      <c r="K128" s="3043"/>
      <c r="L128" s="3044"/>
      <c r="M128" s="3045"/>
      <c r="N128" s="2033"/>
      <c r="O128" s="2033"/>
      <c r="P128" s="1387"/>
      <c r="Q128" s="1387"/>
      <c r="R128" s="1388"/>
      <c r="S128" s="1229">
        <f>IF(AND(F128&lt;&gt;"",C128&lt;&gt;""),IF(AND(F128="ระดับชาติ",C128&lt;&gt;""),3,IF(AND(F128="ระดับนานาชาติ",C128&lt;&gt;""),5,0)),0)</f>
        <v>0</v>
      </c>
      <c r="T128" s="1229" t="str">
        <f t="shared" ref="T128:T147" si="42">IF(J128&lt;&gt;"",MID(J128,1,3),"")</f>
        <v/>
      </c>
      <c r="U128" s="1229">
        <f>IF(S128&lt;&gt;0,IF(T128&lt;&gt;"",IF(OR(T128="0.2",T128="0.4",T128="0.6"),1,IF(T128="0.8",2,IF(T128="1.0",3,0))),0),0)</f>
        <v>0</v>
      </c>
      <c r="V128" s="1229">
        <f t="shared" ref="V128:V147" si="43">IF(N128="",0,IF(U128=1,IF(AND(N128&gt;=$S$21,N128&lt;=$T$21),1,0),IF(U128=2,IF(AND(N128&gt;=$S$21,N128&lt;=$T$21),1,0),IF(U128=3,IF(AND(N128&gt;=$S$21,N128&lt;=$T$21),1,0),0))))</f>
        <v>0</v>
      </c>
      <c r="W128" s="1197">
        <f>IF(U128&lt;&gt;0,1,0)</f>
        <v>0</v>
      </c>
      <c r="X128" s="1197">
        <f>IF(OR(U128=2,U128=3),1,0)</f>
        <v>0</v>
      </c>
      <c r="Y128" s="1216"/>
      <c r="Z128" s="1216"/>
      <c r="AA128" s="1216"/>
    </row>
    <row r="129" spans="2:27" s="1217" customFormat="1" x14ac:dyDescent="0.2">
      <c r="B129" s="1424" t="s">
        <v>840</v>
      </c>
      <c r="C129" s="3040"/>
      <c r="D129" s="3041"/>
      <c r="E129" s="1389"/>
      <c r="F129" s="1389"/>
      <c r="G129" s="1425">
        <f t="shared" ref="G129:G147" si="44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1426">
        <f t="shared" ref="H129:H147" si="45">IF(C129&lt;&gt;"",G129/2,0)</f>
        <v>0</v>
      </c>
      <c r="I129" s="1390">
        <f t="shared" si="41"/>
        <v>0</v>
      </c>
      <c r="J129" s="3042" t="str">
        <f t="shared" ref="J129:J147" si="46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3043"/>
      <c r="L129" s="3044"/>
      <c r="M129" s="3045"/>
      <c r="N129" s="2033"/>
      <c r="O129" s="2033"/>
      <c r="P129" s="1387"/>
      <c r="Q129" s="1387"/>
      <c r="R129" s="1388"/>
      <c r="S129" s="1229">
        <f t="shared" ref="S129:S147" si="47">IF(AND(F129&lt;&gt;"",C129&lt;&gt;""),IF(AND(F129="ระดับชาติ",C129&lt;&gt;""),3,IF(AND(F129="ระดับนานาชาติ",C129&lt;&gt;""),5,0)),0)</f>
        <v>0</v>
      </c>
      <c r="T129" s="1229" t="str">
        <f t="shared" si="42"/>
        <v/>
      </c>
      <c r="U129" s="1229">
        <f t="shared" si="37"/>
        <v>0</v>
      </c>
      <c r="V129" s="1229">
        <f t="shared" si="43"/>
        <v>0</v>
      </c>
      <c r="W129" s="1197">
        <f t="shared" ref="W129:W147" si="48">IF(U129&lt;&gt;0,1,0)</f>
        <v>0</v>
      </c>
      <c r="X129" s="1197">
        <f t="shared" ref="X129:X147" si="49">IF(OR(U129=2,U129=3),1,0)</f>
        <v>0</v>
      </c>
      <c r="Y129" s="1216"/>
      <c r="Z129" s="1216"/>
      <c r="AA129" s="1216"/>
    </row>
    <row r="130" spans="2:27" s="1217" customFormat="1" x14ac:dyDescent="0.2">
      <c r="B130" s="1424" t="s">
        <v>841</v>
      </c>
      <c r="C130" s="3040"/>
      <c r="D130" s="3041"/>
      <c r="E130" s="1389"/>
      <c r="F130" s="1389"/>
      <c r="G130" s="1425">
        <f t="shared" si="44"/>
        <v>0</v>
      </c>
      <c r="H130" s="1426">
        <f t="shared" si="45"/>
        <v>0</v>
      </c>
      <c r="I130" s="1390">
        <f t="shared" si="41"/>
        <v>0</v>
      </c>
      <c r="J130" s="3042" t="str">
        <f t="shared" si="46"/>
        <v/>
      </c>
      <c r="K130" s="3043"/>
      <c r="L130" s="3044"/>
      <c r="M130" s="3045"/>
      <c r="N130" s="2033"/>
      <c r="O130" s="2033"/>
      <c r="P130" s="1387"/>
      <c r="Q130" s="1387"/>
      <c r="R130" s="1388"/>
      <c r="S130" s="1229">
        <f t="shared" si="47"/>
        <v>0</v>
      </c>
      <c r="T130" s="1229" t="str">
        <f t="shared" si="42"/>
        <v/>
      </c>
      <c r="U130" s="1229">
        <f t="shared" si="37"/>
        <v>0</v>
      </c>
      <c r="V130" s="1229">
        <f t="shared" si="43"/>
        <v>0</v>
      </c>
      <c r="W130" s="1197">
        <f t="shared" si="48"/>
        <v>0</v>
      </c>
      <c r="X130" s="1197">
        <f t="shared" si="49"/>
        <v>0</v>
      </c>
      <c r="Y130" s="1216"/>
      <c r="Z130" s="1216"/>
      <c r="AA130" s="1216"/>
    </row>
    <row r="131" spans="2:27" s="1217" customFormat="1" x14ac:dyDescent="0.2">
      <c r="B131" s="1424" t="s">
        <v>842</v>
      </c>
      <c r="C131" s="3040"/>
      <c r="D131" s="3041"/>
      <c r="E131" s="1389"/>
      <c r="F131" s="1389"/>
      <c r="G131" s="1425">
        <f t="shared" si="44"/>
        <v>0</v>
      </c>
      <c r="H131" s="1426">
        <f t="shared" si="45"/>
        <v>0</v>
      </c>
      <c r="I131" s="1390">
        <f t="shared" si="41"/>
        <v>0</v>
      </c>
      <c r="J131" s="3042" t="str">
        <f t="shared" si="46"/>
        <v/>
      </c>
      <c r="K131" s="3043"/>
      <c r="L131" s="3044"/>
      <c r="M131" s="3045"/>
      <c r="N131" s="2033"/>
      <c r="O131" s="2033"/>
      <c r="P131" s="1387"/>
      <c r="Q131" s="1387"/>
      <c r="R131" s="1388"/>
      <c r="S131" s="1229">
        <f t="shared" si="47"/>
        <v>0</v>
      </c>
      <c r="T131" s="1229" t="str">
        <f t="shared" si="42"/>
        <v/>
      </c>
      <c r="U131" s="1229">
        <f t="shared" si="37"/>
        <v>0</v>
      </c>
      <c r="V131" s="1229">
        <f t="shared" si="43"/>
        <v>0</v>
      </c>
      <c r="W131" s="1197">
        <f t="shared" si="48"/>
        <v>0</v>
      </c>
      <c r="X131" s="1197">
        <f t="shared" si="49"/>
        <v>0</v>
      </c>
      <c r="Y131" s="1216"/>
      <c r="Z131" s="1216"/>
      <c r="AA131" s="1216"/>
    </row>
    <row r="132" spans="2:27" s="1217" customFormat="1" x14ac:dyDescent="0.2">
      <c r="B132" s="1424" t="s">
        <v>843</v>
      </c>
      <c r="C132" s="3040"/>
      <c r="D132" s="3041"/>
      <c r="E132" s="1389"/>
      <c r="F132" s="1389"/>
      <c r="G132" s="1425">
        <f t="shared" si="44"/>
        <v>0</v>
      </c>
      <c r="H132" s="1426">
        <f t="shared" si="45"/>
        <v>0</v>
      </c>
      <c r="I132" s="1390">
        <f t="shared" si="41"/>
        <v>0</v>
      </c>
      <c r="J132" s="3042" t="str">
        <f t="shared" si="46"/>
        <v/>
      </c>
      <c r="K132" s="3043"/>
      <c r="L132" s="3044"/>
      <c r="M132" s="3045"/>
      <c r="N132" s="2033"/>
      <c r="O132" s="2033"/>
      <c r="P132" s="1387"/>
      <c r="Q132" s="1387"/>
      <c r="R132" s="1388"/>
      <c r="S132" s="1229">
        <f t="shared" si="47"/>
        <v>0</v>
      </c>
      <c r="T132" s="1229" t="str">
        <f t="shared" si="42"/>
        <v/>
      </c>
      <c r="U132" s="1229">
        <f t="shared" si="37"/>
        <v>0</v>
      </c>
      <c r="V132" s="1229">
        <f t="shared" si="43"/>
        <v>0</v>
      </c>
      <c r="W132" s="1197">
        <f t="shared" si="48"/>
        <v>0</v>
      </c>
      <c r="X132" s="1197">
        <f t="shared" si="49"/>
        <v>0</v>
      </c>
      <c r="Y132" s="1216"/>
      <c r="Z132" s="1216"/>
      <c r="AA132" s="1216"/>
    </row>
    <row r="133" spans="2:27" s="1217" customFormat="1" x14ac:dyDescent="0.2">
      <c r="B133" s="1424" t="s">
        <v>844</v>
      </c>
      <c r="C133" s="3040"/>
      <c r="D133" s="3041"/>
      <c r="E133" s="1389"/>
      <c r="F133" s="1389"/>
      <c r="G133" s="1425">
        <f t="shared" si="44"/>
        <v>0</v>
      </c>
      <c r="H133" s="1426">
        <f t="shared" si="45"/>
        <v>0</v>
      </c>
      <c r="I133" s="1390">
        <f t="shared" si="41"/>
        <v>0</v>
      </c>
      <c r="J133" s="3042" t="str">
        <f t="shared" si="46"/>
        <v/>
      </c>
      <c r="K133" s="3043"/>
      <c r="L133" s="3044"/>
      <c r="M133" s="3045"/>
      <c r="N133" s="2033"/>
      <c r="O133" s="2033"/>
      <c r="P133" s="1387"/>
      <c r="Q133" s="1387"/>
      <c r="R133" s="1388"/>
      <c r="S133" s="1229">
        <f t="shared" si="47"/>
        <v>0</v>
      </c>
      <c r="T133" s="1229" t="str">
        <f t="shared" si="42"/>
        <v/>
      </c>
      <c r="U133" s="1229">
        <f t="shared" si="37"/>
        <v>0</v>
      </c>
      <c r="V133" s="1229">
        <f t="shared" si="43"/>
        <v>0</v>
      </c>
      <c r="W133" s="1197">
        <f t="shared" si="48"/>
        <v>0</v>
      </c>
      <c r="X133" s="1197">
        <f t="shared" si="49"/>
        <v>0</v>
      </c>
      <c r="Y133" s="1216"/>
      <c r="Z133" s="1216"/>
      <c r="AA133" s="1216"/>
    </row>
    <row r="134" spans="2:27" s="1217" customFormat="1" x14ac:dyDescent="0.2">
      <c r="B134" s="1424" t="s">
        <v>845</v>
      </c>
      <c r="C134" s="3040"/>
      <c r="D134" s="3041"/>
      <c r="E134" s="1389"/>
      <c r="F134" s="1389"/>
      <c r="G134" s="1425">
        <f t="shared" si="44"/>
        <v>0</v>
      </c>
      <c r="H134" s="1426">
        <f t="shared" si="45"/>
        <v>0</v>
      </c>
      <c r="I134" s="1390">
        <f t="shared" si="41"/>
        <v>0</v>
      </c>
      <c r="J134" s="3042" t="str">
        <f t="shared" si="46"/>
        <v/>
      </c>
      <c r="K134" s="3043"/>
      <c r="L134" s="3044"/>
      <c r="M134" s="3045"/>
      <c r="N134" s="2033"/>
      <c r="O134" s="2033"/>
      <c r="P134" s="1387"/>
      <c r="Q134" s="1387"/>
      <c r="R134" s="1388"/>
      <c r="S134" s="1229">
        <f t="shared" si="47"/>
        <v>0</v>
      </c>
      <c r="T134" s="1229" t="str">
        <f t="shared" si="42"/>
        <v/>
      </c>
      <c r="U134" s="1229">
        <f t="shared" si="37"/>
        <v>0</v>
      </c>
      <c r="V134" s="1229">
        <f t="shared" si="43"/>
        <v>0</v>
      </c>
      <c r="W134" s="1197">
        <f t="shared" si="48"/>
        <v>0</v>
      </c>
      <c r="X134" s="1197">
        <f t="shared" si="49"/>
        <v>0</v>
      </c>
      <c r="Y134" s="1216"/>
      <c r="Z134" s="1216"/>
      <c r="AA134" s="1216"/>
    </row>
    <row r="135" spans="2:27" s="1217" customFormat="1" x14ac:dyDescent="0.2">
      <c r="B135" s="1424" t="s">
        <v>846</v>
      </c>
      <c r="C135" s="3040"/>
      <c r="D135" s="3041"/>
      <c r="E135" s="1389"/>
      <c r="F135" s="1389"/>
      <c r="G135" s="1425">
        <f t="shared" si="44"/>
        <v>0</v>
      </c>
      <c r="H135" s="1426">
        <f t="shared" si="45"/>
        <v>0</v>
      </c>
      <c r="I135" s="1390">
        <f t="shared" si="41"/>
        <v>0</v>
      </c>
      <c r="J135" s="3042" t="str">
        <f t="shared" si="46"/>
        <v/>
      </c>
      <c r="K135" s="3043"/>
      <c r="L135" s="3044"/>
      <c r="M135" s="3045"/>
      <c r="N135" s="2033"/>
      <c r="O135" s="2033"/>
      <c r="P135" s="1387"/>
      <c r="Q135" s="1387"/>
      <c r="R135" s="1388"/>
      <c r="S135" s="1229">
        <f t="shared" si="47"/>
        <v>0</v>
      </c>
      <c r="T135" s="1229" t="str">
        <f t="shared" si="42"/>
        <v/>
      </c>
      <c r="U135" s="1229">
        <f t="shared" si="37"/>
        <v>0</v>
      </c>
      <c r="V135" s="1229">
        <f t="shared" si="43"/>
        <v>0</v>
      </c>
      <c r="W135" s="1197">
        <f t="shared" si="48"/>
        <v>0</v>
      </c>
      <c r="X135" s="1197">
        <f t="shared" si="49"/>
        <v>0</v>
      </c>
      <c r="Y135" s="1216"/>
      <c r="Z135" s="1216"/>
      <c r="AA135" s="1216"/>
    </row>
    <row r="136" spans="2:27" s="1217" customFormat="1" x14ac:dyDescent="0.2">
      <c r="B136" s="1424" t="s">
        <v>847</v>
      </c>
      <c r="C136" s="3040"/>
      <c r="D136" s="3041"/>
      <c r="E136" s="1389"/>
      <c r="F136" s="1389"/>
      <c r="G136" s="1425">
        <f t="shared" si="44"/>
        <v>0</v>
      </c>
      <c r="H136" s="1426">
        <f t="shared" si="45"/>
        <v>0</v>
      </c>
      <c r="I136" s="1390">
        <f t="shared" si="41"/>
        <v>0</v>
      </c>
      <c r="J136" s="3042" t="str">
        <f t="shared" si="46"/>
        <v/>
      </c>
      <c r="K136" s="3043"/>
      <c r="L136" s="3044"/>
      <c r="M136" s="3045"/>
      <c r="N136" s="2033"/>
      <c r="O136" s="2033"/>
      <c r="P136" s="1387"/>
      <c r="Q136" s="1387"/>
      <c r="R136" s="1388"/>
      <c r="S136" s="1229">
        <f t="shared" si="47"/>
        <v>0</v>
      </c>
      <c r="T136" s="1229" t="str">
        <f t="shared" si="42"/>
        <v/>
      </c>
      <c r="U136" s="1229">
        <f t="shared" si="37"/>
        <v>0</v>
      </c>
      <c r="V136" s="1229">
        <f t="shared" si="43"/>
        <v>0</v>
      </c>
      <c r="W136" s="1197">
        <f t="shared" si="48"/>
        <v>0</v>
      </c>
      <c r="X136" s="1197">
        <f t="shared" si="49"/>
        <v>0</v>
      </c>
      <c r="Y136" s="1216"/>
      <c r="Z136" s="1216"/>
      <c r="AA136" s="1216"/>
    </row>
    <row r="137" spans="2:27" s="1217" customFormat="1" x14ac:dyDescent="0.2">
      <c r="B137" s="1424" t="s">
        <v>848</v>
      </c>
      <c r="C137" s="3040"/>
      <c r="D137" s="3041"/>
      <c r="E137" s="1389"/>
      <c r="F137" s="1389"/>
      <c r="G137" s="1425">
        <f t="shared" si="44"/>
        <v>0</v>
      </c>
      <c r="H137" s="1426">
        <f t="shared" si="45"/>
        <v>0</v>
      </c>
      <c r="I137" s="1390">
        <f t="shared" si="41"/>
        <v>0</v>
      </c>
      <c r="J137" s="3042" t="str">
        <f t="shared" si="46"/>
        <v/>
      </c>
      <c r="K137" s="3043"/>
      <c r="L137" s="3044"/>
      <c r="M137" s="3045"/>
      <c r="N137" s="2033"/>
      <c r="O137" s="2033"/>
      <c r="P137" s="1387"/>
      <c r="Q137" s="1387"/>
      <c r="R137" s="1388"/>
      <c r="S137" s="1229">
        <f t="shared" si="47"/>
        <v>0</v>
      </c>
      <c r="T137" s="1229" t="str">
        <f t="shared" si="42"/>
        <v/>
      </c>
      <c r="U137" s="1229">
        <f t="shared" si="37"/>
        <v>0</v>
      </c>
      <c r="V137" s="1229">
        <f t="shared" si="43"/>
        <v>0</v>
      </c>
      <c r="W137" s="1197">
        <f t="shared" si="48"/>
        <v>0</v>
      </c>
      <c r="X137" s="1197">
        <f t="shared" si="49"/>
        <v>0</v>
      </c>
      <c r="Y137" s="1216"/>
      <c r="Z137" s="1216"/>
      <c r="AA137" s="1216"/>
    </row>
    <row r="138" spans="2:27" s="1217" customFormat="1" x14ac:dyDescent="0.2">
      <c r="B138" s="1424" t="s">
        <v>849</v>
      </c>
      <c r="C138" s="3040"/>
      <c r="D138" s="3041"/>
      <c r="E138" s="1389"/>
      <c r="F138" s="1427"/>
      <c r="G138" s="1425">
        <f t="shared" si="44"/>
        <v>0</v>
      </c>
      <c r="H138" s="1426">
        <f t="shared" si="45"/>
        <v>0</v>
      </c>
      <c r="I138" s="1390">
        <f t="shared" si="41"/>
        <v>0</v>
      </c>
      <c r="J138" s="3042" t="str">
        <f t="shared" si="46"/>
        <v/>
      </c>
      <c r="K138" s="3043"/>
      <c r="L138" s="3044"/>
      <c r="M138" s="3045"/>
      <c r="N138" s="2033"/>
      <c r="O138" s="2033"/>
      <c r="P138" s="1391"/>
      <c r="Q138" s="1391"/>
      <c r="R138" s="1392"/>
      <c r="S138" s="1229">
        <f t="shared" si="47"/>
        <v>0</v>
      </c>
      <c r="T138" s="1229" t="str">
        <f t="shared" si="42"/>
        <v/>
      </c>
      <c r="U138" s="1229">
        <f t="shared" si="37"/>
        <v>0</v>
      </c>
      <c r="V138" s="1229">
        <f t="shared" si="43"/>
        <v>0</v>
      </c>
      <c r="W138" s="1197">
        <f t="shared" si="48"/>
        <v>0</v>
      </c>
      <c r="X138" s="1197">
        <f t="shared" si="49"/>
        <v>0</v>
      </c>
      <c r="Y138" s="1216"/>
      <c r="Z138" s="1216"/>
      <c r="AA138" s="1216"/>
    </row>
    <row r="139" spans="2:27" s="1217" customFormat="1" x14ac:dyDescent="0.2">
      <c r="B139" s="1424" t="s">
        <v>850</v>
      </c>
      <c r="C139" s="3040"/>
      <c r="D139" s="3041"/>
      <c r="E139" s="1389"/>
      <c r="F139" s="1427"/>
      <c r="G139" s="1425">
        <f t="shared" si="44"/>
        <v>0</v>
      </c>
      <c r="H139" s="1426">
        <f t="shared" si="45"/>
        <v>0</v>
      </c>
      <c r="I139" s="1390">
        <f t="shared" si="41"/>
        <v>0</v>
      </c>
      <c r="J139" s="3042" t="str">
        <f t="shared" si="46"/>
        <v/>
      </c>
      <c r="K139" s="3043"/>
      <c r="L139" s="3044"/>
      <c r="M139" s="3045"/>
      <c r="N139" s="2033"/>
      <c r="O139" s="2033"/>
      <c r="P139" s="1391"/>
      <c r="Q139" s="1391"/>
      <c r="R139" s="1392"/>
      <c r="S139" s="1229">
        <f t="shared" si="47"/>
        <v>0</v>
      </c>
      <c r="T139" s="1229" t="str">
        <f t="shared" si="42"/>
        <v/>
      </c>
      <c r="U139" s="1229">
        <f t="shared" si="37"/>
        <v>0</v>
      </c>
      <c r="V139" s="1229">
        <f t="shared" si="43"/>
        <v>0</v>
      </c>
      <c r="W139" s="1197">
        <f t="shared" si="48"/>
        <v>0</v>
      </c>
      <c r="X139" s="1197">
        <f t="shared" si="49"/>
        <v>0</v>
      </c>
      <c r="Y139" s="1216"/>
      <c r="Z139" s="1216"/>
      <c r="AA139" s="1216"/>
    </row>
    <row r="140" spans="2:27" s="1217" customFormat="1" x14ac:dyDescent="0.2">
      <c r="B140" s="1424" t="s">
        <v>851</v>
      </c>
      <c r="C140" s="3040"/>
      <c r="D140" s="3041"/>
      <c r="E140" s="1389"/>
      <c r="F140" s="1427"/>
      <c r="G140" s="1425">
        <f t="shared" si="44"/>
        <v>0</v>
      </c>
      <c r="H140" s="1426">
        <f t="shared" si="45"/>
        <v>0</v>
      </c>
      <c r="I140" s="1390">
        <f t="shared" si="41"/>
        <v>0</v>
      </c>
      <c r="J140" s="3042" t="str">
        <f t="shared" si="46"/>
        <v/>
      </c>
      <c r="K140" s="3043"/>
      <c r="L140" s="3044"/>
      <c r="M140" s="3045"/>
      <c r="N140" s="2033"/>
      <c r="O140" s="2033"/>
      <c r="P140" s="1391"/>
      <c r="Q140" s="1391"/>
      <c r="R140" s="1392"/>
      <c r="S140" s="1229">
        <f t="shared" si="47"/>
        <v>0</v>
      </c>
      <c r="T140" s="1229" t="str">
        <f t="shared" si="42"/>
        <v/>
      </c>
      <c r="U140" s="1229">
        <f t="shared" si="37"/>
        <v>0</v>
      </c>
      <c r="V140" s="1229">
        <f t="shared" si="43"/>
        <v>0</v>
      </c>
      <c r="W140" s="1197">
        <f t="shared" si="48"/>
        <v>0</v>
      </c>
      <c r="X140" s="1197">
        <f t="shared" si="49"/>
        <v>0</v>
      </c>
      <c r="Y140" s="1216"/>
      <c r="Z140" s="1216"/>
      <c r="AA140" s="1216"/>
    </row>
    <row r="141" spans="2:27" s="1217" customFormat="1" x14ac:dyDescent="0.2">
      <c r="B141" s="1424" t="s">
        <v>852</v>
      </c>
      <c r="C141" s="3040"/>
      <c r="D141" s="3041"/>
      <c r="E141" s="1389"/>
      <c r="F141" s="1427"/>
      <c r="G141" s="1425">
        <f t="shared" si="44"/>
        <v>0</v>
      </c>
      <c r="H141" s="1426">
        <f t="shared" si="45"/>
        <v>0</v>
      </c>
      <c r="I141" s="1390">
        <f t="shared" si="41"/>
        <v>0</v>
      </c>
      <c r="J141" s="3042" t="str">
        <f t="shared" si="46"/>
        <v/>
      </c>
      <c r="K141" s="3043"/>
      <c r="L141" s="3044"/>
      <c r="M141" s="3045"/>
      <c r="N141" s="2033"/>
      <c r="O141" s="2033"/>
      <c r="P141" s="1391"/>
      <c r="Q141" s="1391"/>
      <c r="R141" s="1392"/>
      <c r="S141" s="1229">
        <f t="shared" si="47"/>
        <v>0</v>
      </c>
      <c r="T141" s="1229" t="str">
        <f t="shared" si="42"/>
        <v/>
      </c>
      <c r="U141" s="1229">
        <f t="shared" si="37"/>
        <v>0</v>
      </c>
      <c r="V141" s="1229">
        <f t="shared" si="43"/>
        <v>0</v>
      </c>
      <c r="W141" s="1197">
        <f t="shared" si="48"/>
        <v>0</v>
      </c>
      <c r="X141" s="1197">
        <f t="shared" si="49"/>
        <v>0</v>
      </c>
      <c r="Y141" s="1216"/>
      <c r="Z141" s="1216"/>
      <c r="AA141" s="1216"/>
    </row>
    <row r="142" spans="2:27" s="1217" customFormat="1" x14ac:dyDescent="0.2">
      <c r="B142" s="1424" t="s">
        <v>853</v>
      </c>
      <c r="C142" s="3040"/>
      <c r="D142" s="3041"/>
      <c r="E142" s="1389"/>
      <c r="F142" s="1427"/>
      <c r="G142" s="1425">
        <f t="shared" si="44"/>
        <v>0</v>
      </c>
      <c r="H142" s="1426">
        <f t="shared" si="45"/>
        <v>0</v>
      </c>
      <c r="I142" s="1390">
        <f t="shared" si="41"/>
        <v>0</v>
      </c>
      <c r="J142" s="3042" t="str">
        <f t="shared" si="46"/>
        <v/>
      </c>
      <c r="K142" s="3043"/>
      <c r="L142" s="3044"/>
      <c r="M142" s="3045"/>
      <c r="N142" s="2033"/>
      <c r="O142" s="2033"/>
      <c r="P142" s="1391"/>
      <c r="Q142" s="1391"/>
      <c r="R142" s="1392"/>
      <c r="S142" s="1229">
        <f t="shared" si="47"/>
        <v>0</v>
      </c>
      <c r="T142" s="1229" t="str">
        <f t="shared" si="42"/>
        <v/>
      </c>
      <c r="U142" s="1229">
        <f t="shared" si="37"/>
        <v>0</v>
      </c>
      <c r="V142" s="1229">
        <f t="shared" si="43"/>
        <v>0</v>
      </c>
      <c r="W142" s="1197">
        <f t="shared" si="48"/>
        <v>0</v>
      </c>
      <c r="X142" s="1197">
        <f t="shared" si="49"/>
        <v>0</v>
      </c>
      <c r="Y142" s="1216"/>
      <c r="Z142" s="1216"/>
      <c r="AA142" s="1216"/>
    </row>
    <row r="143" spans="2:27" s="1217" customFormat="1" x14ac:dyDescent="0.2">
      <c r="B143" s="1424" t="s">
        <v>854</v>
      </c>
      <c r="C143" s="3040"/>
      <c r="D143" s="3041"/>
      <c r="E143" s="1389"/>
      <c r="F143" s="1427"/>
      <c r="G143" s="1425">
        <f t="shared" si="44"/>
        <v>0</v>
      </c>
      <c r="H143" s="1426">
        <f t="shared" si="45"/>
        <v>0</v>
      </c>
      <c r="I143" s="1390">
        <f t="shared" si="41"/>
        <v>0</v>
      </c>
      <c r="J143" s="3042" t="str">
        <f t="shared" si="46"/>
        <v/>
      </c>
      <c r="K143" s="3043"/>
      <c r="L143" s="3044"/>
      <c r="M143" s="3045"/>
      <c r="N143" s="2033"/>
      <c r="O143" s="2033"/>
      <c r="P143" s="1391"/>
      <c r="Q143" s="1391"/>
      <c r="R143" s="1392"/>
      <c r="S143" s="1229">
        <f t="shared" si="47"/>
        <v>0</v>
      </c>
      <c r="T143" s="1229" t="str">
        <f t="shared" si="42"/>
        <v/>
      </c>
      <c r="U143" s="1229">
        <f t="shared" si="37"/>
        <v>0</v>
      </c>
      <c r="V143" s="1229">
        <f t="shared" si="43"/>
        <v>0</v>
      </c>
      <c r="W143" s="1197">
        <f t="shared" si="48"/>
        <v>0</v>
      </c>
      <c r="X143" s="1197">
        <f t="shared" si="49"/>
        <v>0</v>
      </c>
      <c r="Y143" s="1216"/>
      <c r="Z143" s="1216"/>
      <c r="AA143" s="1216"/>
    </row>
    <row r="144" spans="2:27" s="1217" customFormat="1" x14ac:dyDescent="0.2">
      <c r="B144" s="1424" t="s">
        <v>855</v>
      </c>
      <c r="C144" s="3040"/>
      <c r="D144" s="3041"/>
      <c r="E144" s="1389"/>
      <c r="F144" s="1427"/>
      <c r="G144" s="1425">
        <f t="shared" si="44"/>
        <v>0</v>
      </c>
      <c r="H144" s="1426">
        <f t="shared" si="45"/>
        <v>0</v>
      </c>
      <c r="I144" s="1390">
        <f t="shared" si="41"/>
        <v>0</v>
      </c>
      <c r="J144" s="3042" t="str">
        <f t="shared" si="46"/>
        <v/>
      </c>
      <c r="K144" s="3043"/>
      <c r="L144" s="3044"/>
      <c r="M144" s="3045"/>
      <c r="N144" s="2033"/>
      <c r="O144" s="2033"/>
      <c r="P144" s="1391"/>
      <c r="Q144" s="1391"/>
      <c r="R144" s="1392"/>
      <c r="S144" s="1229">
        <f t="shared" si="47"/>
        <v>0</v>
      </c>
      <c r="T144" s="1229" t="str">
        <f t="shared" si="42"/>
        <v/>
      </c>
      <c r="U144" s="1229">
        <f t="shared" si="37"/>
        <v>0</v>
      </c>
      <c r="V144" s="1229">
        <f t="shared" si="43"/>
        <v>0</v>
      </c>
      <c r="W144" s="1197">
        <f t="shared" si="48"/>
        <v>0</v>
      </c>
      <c r="X144" s="1197">
        <f t="shared" si="49"/>
        <v>0</v>
      </c>
      <c r="Y144" s="1216"/>
      <c r="Z144" s="1216"/>
      <c r="AA144" s="1216"/>
    </row>
    <row r="145" spans="2:27" s="1217" customFormat="1" x14ac:dyDescent="0.2">
      <c r="B145" s="1424" t="s">
        <v>856</v>
      </c>
      <c r="C145" s="3040"/>
      <c r="D145" s="3041"/>
      <c r="E145" s="1389"/>
      <c r="F145" s="1427"/>
      <c r="G145" s="1425">
        <f t="shared" si="44"/>
        <v>0</v>
      </c>
      <c r="H145" s="1426">
        <f t="shared" si="45"/>
        <v>0</v>
      </c>
      <c r="I145" s="1390">
        <f t="shared" si="41"/>
        <v>0</v>
      </c>
      <c r="J145" s="3042" t="str">
        <f t="shared" si="46"/>
        <v/>
      </c>
      <c r="K145" s="3043"/>
      <c r="L145" s="3044"/>
      <c r="M145" s="3045"/>
      <c r="N145" s="2033"/>
      <c r="O145" s="2033"/>
      <c r="P145" s="1391"/>
      <c r="Q145" s="1391"/>
      <c r="R145" s="1392"/>
      <c r="S145" s="1229">
        <f t="shared" si="47"/>
        <v>0</v>
      </c>
      <c r="T145" s="1229" t="str">
        <f t="shared" si="42"/>
        <v/>
      </c>
      <c r="U145" s="1229">
        <f t="shared" si="37"/>
        <v>0</v>
      </c>
      <c r="V145" s="1229">
        <f t="shared" si="43"/>
        <v>0</v>
      </c>
      <c r="W145" s="1197">
        <f t="shared" si="48"/>
        <v>0</v>
      </c>
      <c r="X145" s="1197">
        <f>IF(OR(U145=2,U145=3),1,0)</f>
        <v>0</v>
      </c>
      <c r="Y145" s="1216"/>
      <c r="Z145" s="1216"/>
      <c r="AA145" s="1216"/>
    </row>
    <row r="146" spans="2:27" s="1217" customFormat="1" x14ac:dyDescent="0.2">
      <c r="B146" s="1424" t="s">
        <v>857</v>
      </c>
      <c r="C146" s="3040"/>
      <c r="D146" s="3041"/>
      <c r="E146" s="1389"/>
      <c r="F146" s="1427"/>
      <c r="G146" s="1425">
        <f t="shared" si="44"/>
        <v>0</v>
      </c>
      <c r="H146" s="1426">
        <f t="shared" si="45"/>
        <v>0</v>
      </c>
      <c r="I146" s="1390">
        <f t="shared" si="41"/>
        <v>0</v>
      </c>
      <c r="J146" s="3042" t="str">
        <f t="shared" si="46"/>
        <v/>
      </c>
      <c r="K146" s="3043"/>
      <c r="L146" s="3044"/>
      <c r="M146" s="3045"/>
      <c r="N146" s="2033"/>
      <c r="O146" s="2033"/>
      <c r="P146" s="1391"/>
      <c r="Q146" s="1391"/>
      <c r="R146" s="1392"/>
      <c r="S146" s="1229">
        <f t="shared" si="47"/>
        <v>0</v>
      </c>
      <c r="T146" s="1229" t="str">
        <f t="shared" si="42"/>
        <v/>
      </c>
      <c r="U146" s="1229">
        <f t="shared" si="37"/>
        <v>0</v>
      </c>
      <c r="V146" s="1229">
        <f t="shared" si="43"/>
        <v>0</v>
      </c>
      <c r="W146" s="1197">
        <f t="shared" si="48"/>
        <v>0</v>
      </c>
      <c r="X146" s="1197">
        <f t="shared" si="49"/>
        <v>0</v>
      </c>
      <c r="Y146" s="1216"/>
      <c r="Z146" s="1216"/>
      <c r="AA146" s="1216"/>
    </row>
    <row r="147" spans="2:27" s="1217" customFormat="1" x14ac:dyDescent="0.2">
      <c r="B147" s="1424" t="s">
        <v>858</v>
      </c>
      <c r="C147" s="3040"/>
      <c r="D147" s="3041"/>
      <c r="E147" s="1389"/>
      <c r="F147" s="1427"/>
      <c r="G147" s="1425">
        <f t="shared" si="44"/>
        <v>0</v>
      </c>
      <c r="H147" s="1426">
        <f t="shared" si="45"/>
        <v>0</v>
      </c>
      <c r="I147" s="1390">
        <f t="shared" si="41"/>
        <v>0</v>
      </c>
      <c r="J147" s="3042" t="str">
        <f t="shared" si="46"/>
        <v/>
      </c>
      <c r="K147" s="3043"/>
      <c r="L147" s="3044"/>
      <c r="M147" s="3045"/>
      <c r="N147" s="2033"/>
      <c r="O147" s="2033"/>
      <c r="P147" s="1391"/>
      <c r="Q147" s="1391"/>
      <c r="R147" s="1392"/>
      <c r="S147" s="1229">
        <f t="shared" si="47"/>
        <v>0</v>
      </c>
      <c r="T147" s="1229" t="str">
        <f t="shared" si="42"/>
        <v/>
      </c>
      <c r="U147" s="1229">
        <f t="shared" si="37"/>
        <v>0</v>
      </c>
      <c r="V147" s="1229">
        <f t="shared" si="43"/>
        <v>0</v>
      </c>
      <c r="W147" s="1197">
        <f t="shared" si="48"/>
        <v>0</v>
      </c>
      <c r="X147" s="1197">
        <f t="shared" si="49"/>
        <v>0</v>
      </c>
      <c r="Y147" s="1216"/>
      <c r="Z147" s="1216"/>
      <c r="AA147" s="1216"/>
    </row>
    <row r="148" spans="2:27" s="1217" customFormat="1" ht="21" customHeight="1" x14ac:dyDescent="0.2">
      <c r="B148" s="1393"/>
      <c r="C148" s="1394"/>
      <c r="D148" s="1394"/>
      <c r="E148" s="1394"/>
      <c r="F148" s="1394"/>
      <c r="G148" s="1428" t="s">
        <v>871</v>
      </c>
      <c r="H148" s="1398">
        <f>SUM(H128:H147)</f>
        <v>0</v>
      </c>
      <c r="I148" s="1399">
        <f>SUM(I128:I147)</f>
        <v>0</v>
      </c>
      <c r="J148" s="1429"/>
      <c r="K148" s="1430"/>
      <c r="L148" s="1402"/>
      <c r="M148" s="1403">
        <f>SUM(V128:V147)</f>
        <v>0</v>
      </c>
      <c r="N148" s="1405">
        <f>COUNTIF(S128:S147,"3")</f>
        <v>0</v>
      </c>
      <c r="O148" s="1405">
        <f>COUNTIF(S128:S147,"3")</f>
        <v>0</v>
      </c>
      <c r="P148" s="1405"/>
      <c r="Q148" s="1405"/>
      <c r="R148" s="1406"/>
      <c r="S148" s="1229"/>
      <c r="T148" s="1229"/>
      <c r="U148" s="1229"/>
      <c r="V148" s="1229"/>
      <c r="W148" s="1197">
        <f>SUM(W128:W147)</f>
        <v>0</v>
      </c>
      <c r="X148" s="1197">
        <f>SUM(X128:X147)</f>
        <v>0</v>
      </c>
      <c r="Y148" s="1216"/>
      <c r="Z148" s="1216"/>
      <c r="AA148" s="1216"/>
    </row>
    <row r="149" spans="2:27" s="1304" customFormat="1" ht="12.75" customHeight="1" x14ac:dyDescent="0.2">
      <c r="B149" s="1431"/>
      <c r="C149" s="1298"/>
      <c r="D149" s="1298"/>
      <c r="E149" s="1298"/>
      <c r="F149" s="1298"/>
      <c r="G149" s="1432"/>
      <c r="H149" s="1433"/>
      <c r="I149" s="1433"/>
      <c r="J149" s="1433"/>
      <c r="K149" s="1433"/>
      <c r="L149" s="1433"/>
      <c r="M149" s="1298"/>
      <c r="N149" s="1298"/>
      <c r="O149" s="1298"/>
      <c r="P149" s="1434"/>
      <c r="Q149" s="1434"/>
      <c r="R149" s="1435"/>
      <c r="S149" s="1229"/>
      <c r="T149" s="1229"/>
      <c r="U149" s="1229"/>
      <c r="V149" s="1229"/>
      <c r="W149" s="1302"/>
      <c r="X149" s="1302"/>
      <c r="Y149" s="1302"/>
      <c r="Z149" s="1302"/>
      <c r="AA149" s="1302"/>
    </row>
    <row r="150" spans="2:27" s="1187" customFormat="1" ht="21" customHeight="1" x14ac:dyDescent="0.2">
      <c r="B150" s="1436" t="s">
        <v>872</v>
      </c>
      <c r="C150" s="1437"/>
      <c r="D150" s="1438"/>
      <c r="E150" s="1438"/>
      <c r="F150" s="1438"/>
      <c r="G150" s="1438"/>
      <c r="H150" s="1438"/>
      <c r="I150" s="1439"/>
      <c r="J150" s="2964" t="s">
        <v>861</v>
      </c>
      <c r="K150" s="2965"/>
      <c r="L150" s="2965"/>
      <c r="M150" s="2965"/>
      <c r="N150" s="2965"/>
      <c r="O150" s="2965"/>
      <c r="P150" s="2965"/>
      <c r="Q150" s="2965"/>
      <c r="R150" s="2966"/>
      <c r="S150" s="1229"/>
      <c r="T150" s="1229"/>
      <c r="U150" s="1229"/>
      <c r="V150" s="1229"/>
      <c r="W150" s="1185"/>
      <c r="X150" s="1185"/>
      <c r="Y150" s="1185"/>
      <c r="Z150" s="1185"/>
      <c r="AA150" s="1185"/>
    </row>
    <row r="151" spans="2:27" s="1217" customFormat="1" x14ac:dyDescent="0.2">
      <c r="B151" s="1353"/>
      <c r="C151" s="3052" t="s">
        <v>873</v>
      </c>
      <c r="D151" s="3053"/>
      <c r="E151" s="3054"/>
      <c r="F151" s="1354" t="s">
        <v>820</v>
      </c>
      <c r="G151" s="1355" t="s">
        <v>821</v>
      </c>
      <c r="H151" s="1191" t="s">
        <v>639</v>
      </c>
      <c r="I151" s="1192" t="s">
        <v>639</v>
      </c>
      <c r="J151" s="3003" t="s">
        <v>822</v>
      </c>
      <c r="K151" s="3004"/>
      <c r="L151" s="3000" t="s">
        <v>874</v>
      </c>
      <c r="M151" s="3001"/>
      <c r="N151" s="3002"/>
      <c r="O151" s="1354" t="s">
        <v>875</v>
      </c>
      <c r="P151" s="3005" t="s">
        <v>825</v>
      </c>
      <c r="Q151" s="3005"/>
      <c r="R151" s="3006"/>
      <c r="S151" s="1229"/>
      <c r="T151" s="1229"/>
      <c r="U151" s="1229"/>
      <c r="V151" s="1229"/>
      <c r="W151" s="1216"/>
      <c r="X151" s="1216"/>
      <c r="Y151" s="1216"/>
      <c r="Z151" s="1216"/>
      <c r="AA151" s="1216"/>
    </row>
    <row r="152" spans="2:27" s="1364" customFormat="1" x14ac:dyDescent="0.2">
      <c r="B152" s="1356"/>
      <c r="C152" s="1413"/>
      <c r="D152" s="1440"/>
      <c r="E152" s="1360"/>
      <c r="F152" s="1360" t="s">
        <v>826</v>
      </c>
      <c r="G152" s="1315"/>
      <c r="H152" s="1315" t="s">
        <v>641</v>
      </c>
      <c r="I152" s="1316" t="s">
        <v>510</v>
      </c>
      <c r="J152" s="3017" t="s">
        <v>827</v>
      </c>
      <c r="K152" s="3018"/>
      <c r="L152" s="3027" t="s">
        <v>828</v>
      </c>
      <c r="M152" s="3028"/>
      <c r="N152" s="3029"/>
      <c r="O152" s="1441" t="s">
        <v>1245</v>
      </c>
      <c r="P152" s="1189" t="s">
        <v>830</v>
      </c>
      <c r="Q152" s="1189" t="s">
        <v>831</v>
      </c>
      <c r="R152" s="1361" t="s">
        <v>832</v>
      </c>
      <c r="S152" s="1229"/>
      <c r="T152" s="1229"/>
      <c r="U152" s="1229"/>
      <c r="V152" s="1229"/>
      <c r="W152" s="1362"/>
      <c r="X152" s="1362"/>
      <c r="Y152" s="1362"/>
      <c r="Z152" s="1362"/>
      <c r="AA152" s="1362"/>
    </row>
    <row r="153" spans="2:27" s="1209" customFormat="1" x14ac:dyDescent="0.2">
      <c r="B153" s="1199"/>
      <c r="C153" s="1200"/>
      <c r="D153" s="1274"/>
      <c r="E153" s="1367"/>
      <c r="F153" s="1367" t="s">
        <v>827</v>
      </c>
      <c r="G153" s="1201"/>
      <c r="H153" s="1368"/>
      <c r="I153" s="1321"/>
      <c r="J153" s="1369"/>
      <c r="K153" s="1370"/>
      <c r="L153" s="1371"/>
      <c r="M153" s="3030"/>
      <c r="N153" s="3031"/>
      <c r="O153" s="1370"/>
      <c r="P153" s="1201"/>
      <c r="Q153" s="1201" t="s">
        <v>833</v>
      </c>
      <c r="R153" s="1373" t="s">
        <v>834</v>
      </c>
      <c r="S153" s="1229"/>
      <c r="T153" s="1229"/>
      <c r="U153" s="1229"/>
      <c r="V153" s="1229"/>
      <c r="W153" s="1207"/>
      <c r="X153" s="1207"/>
      <c r="Y153" s="1207"/>
      <c r="Z153" s="1207"/>
      <c r="AA153" s="1207"/>
    </row>
    <row r="154" spans="2:27" s="1384" customFormat="1" ht="12.75" customHeight="1" x14ac:dyDescent="0.2">
      <c r="B154" s="1374" t="s">
        <v>646</v>
      </c>
      <c r="C154" s="3055" t="s">
        <v>835</v>
      </c>
      <c r="D154" s="3056"/>
      <c r="E154" s="3057"/>
      <c r="F154" s="1442" t="s">
        <v>300</v>
      </c>
      <c r="G154" s="1376">
        <f>IF(F154="",0,IF(F154="ระดับชาติ",30,IF(F154="ระดับนานาชาติ",60,30)))</f>
        <v>60</v>
      </c>
      <c r="H154" s="1377">
        <f>IF(C154&lt;&gt;"",G154,0)</f>
        <v>60</v>
      </c>
      <c r="I154" s="1378">
        <f t="shared" ref="I154:I174" si="50">H154/15</f>
        <v>4</v>
      </c>
      <c r="J154" s="3022" t="s">
        <v>313</v>
      </c>
      <c r="K154" s="3023"/>
      <c r="L154" s="3032" t="s">
        <v>836</v>
      </c>
      <c r="M154" s="3033"/>
      <c r="N154" s="3034"/>
      <c r="O154" s="2029">
        <v>240817</v>
      </c>
      <c r="P154" s="1379"/>
      <c r="Q154" s="1379" t="s">
        <v>299</v>
      </c>
      <c r="R154" s="1380"/>
      <c r="S154" s="1229"/>
      <c r="T154" s="1229"/>
      <c r="U154" s="1229"/>
      <c r="V154" s="1229"/>
      <c r="W154" s="1383" t="s">
        <v>876</v>
      </c>
      <c r="X154" s="1383"/>
      <c r="Y154" s="1382"/>
      <c r="Z154" s="1382"/>
      <c r="AA154" s="1382"/>
    </row>
    <row r="155" spans="2:27" s="1231" customFormat="1" x14ac:dyDescent="0.2">
      <c r="B155" s="1385" t="s">
        <v>839</v>
      </c>
      <c r="C155" s="2988"/>
      <c r="D155" s="2989"/>
      <c r="E155" s="2990"/>
      <c r="F155" s="1386"/>
      <c r="G155" s="1322">
        <f>IF(F155="",0,IF(F155="ระดับชาติ",30,IF(F155="ระดับนานาชาติ",60,30)))</f>
        <v>0</v>
      </c>
      <c r="H155" s="1443">
        <f>IF(C155&lt;&gt;"",G155,0)</f>
        <v>0</v>
      </c>
      <c r="I155" s="1223">
        <f t="shared" si="50"/>
        <v>0</v>
      </c>
      <c r="J155" s="3015"/>
      <c r="K155" s="3016"/>
      <c r="L155" s="3024"/>
      <c r="M155" s="3025"/>
      <c r="N155" s="3026"/>
      <c r="O155" s="2030"/>
      <c r="P155" s="1387"/>
      <c r="Q155" s="1387"/>
      <c r="R155" s="1388"/>
      <c r="S155" s="1229">
        <f t="shared" ref="S155:S174" si="51">IF(AND(F155&lt;&gt;"",C155&lt;&gt;""),IF(AND(F155="ระดับชาติ",C155&lt;&gt;""),3,IF(AND(F155="ระดับนานาชาติ",C155&lt;&gt;""),5,0)),0)</f>
        <v>0</v>
      </c>
      <c r="T155" s="1229" t="str">
        <f t="shared" ref="T155:T174" si="52">IF(J155&lt;&gt;"",MID(J155,1,3),"")</f>
        <v/>
      </c>
      <c r="U155" s="1229">
        <f>IF(S155&lt;&gt;0,IF(T155&lt;&gt;"",IF(OR(T155="0.2",T155="0.4",T155="0.6"),1,IF(T155="0.8",2,IF(T155="1.0",3,0))),0),0)</f>
        <v>0</v>
      </c>
      <c r="V155" s="1229">
        <f>IF(O155="",0,IF(U155=1,IF(AND(O155&gt;=$S$21,O155&lt;=$T$21),1,0),IF(U155=2,IF(AND(O155&gt;=$S$21,O155&lt;=$T$21),1,0),IF(U155=3,IF(AND(O155&gt;=$S$21,O155&lt;=$T$21),1,0),0))))</f>
        <v>0</v>
      </c>
      <c r="W155" s="1229">
        <f>IF(U155&lt;&gt;0,1,0)</f>
        <v>0</v>
      </c>
      <c r="X155" s="1230"/>
      <c r="Y155" s="1230"/>
      <c r="Z155" s="1230"/>
      <c r="AA155" s="1230"/>
    </row>
    <row r="156" spans="2:27" s="1231" customFormat="1" x14ac:dyDescent="0.2">
      <c r="B156" s="1385" t="s">
        <v>840</v>
      </c>
      <c r="C156" s="2988"/>
      <c r="D156" s="2989"/>
      <c r="E156" s="2990"/>
      <c r="F156" s="1386"/>
      <c r="G156" s="1322">
        <f t="shared" ref="G156:G174" si="53">IF(F156="",0,IF(F156="ระดับชาติ",30,IF(F156="ระดับนานาชาติ",60,30)))</f>
        <v>0</v>
      </c>
      <c r="H156" s="1443">
        <f t="shared" ref="H156:H174" si="54">IF(C156&lt;&gt;"",G156,0)</f>
        <v>0</v>
      </c>
      <c r="I156" s="1223">
        <f t="shared" si="50"/>
        <v>0</v>
      </c>
      <c r="J156" s="3015"/>
      <c r="K156" s="3016"/>
      <c r="L156" s="3024"/>
      <c r="M156" s="3025"/>
      <c r="N156" s="3026"/>
      <c r="O156" s="2030"/>
      <c r="P156" s="1387"/>
      <c r="Q156" s="1387"/>
      <c r="R156" s="1388"/>
      <c r="S156" s="1229">
        <f t="shared" si="51"/>
        <v>0</v>
      </c>
      <c r="T156" s="1229" t="str">
        <f t="shared" si="52"/>
        <v/>
      </c>
      <c r="U156" s="1229">
        <f t="shared" si="37"/>
        <v>0</v>
      </c>
      <c r="V156" s="1229">
        <f t="shared" ref="V156:V174" si="55">IF(O156="",0,IF(U156=1,IF(AND(O156&gt;=$S$21,O156&lt;=$T$21),1,0),IF(U156=2,IF(AND(O156&gt;=$S$21,O156&lt;=$T$21),1,0),IF(U156=3,IF(AND(O156&gt;=$S$21,O156&lt;=$T$21),1,0),0))))</f>
        <v>0</v>
      </c>
      <c r="W156" s="1229">
        <f t="shared" ref="W156:W174" si="56">IF(U156&lt;&gt;0,1,0)</f>
        <v>0</v>
      </c>
      <c r="X156" s="1230"/>
      <c r="Y156" s="1230"/>
      <c r="Z156" s="1230"/>
      <c r="AA156" s="1230"/>
    </row>
    <row r="157" spans="2:27" s="1231" customFormat="1" x14ac:dyDescent="0.2">
      <c r="B157" s="1385" t="s">
        <v>841</v>
      </c>
      <c r="C157" s="2988"/>
      <c r="D157" s="2989"/>
      <c r="E157" s="2990"/>
      <c r="F157" s="1386"/>
      <c r="G157" s="1322">
        <f t="shared" si="53"/>
        <v>0</v>
      </c>
      <c r="H157" s="1443">
        <f t="shared" si="54"/>
        <v>0</v>
      </c>
      <c r="I157" s="1223">
        <f t="shared" si="50"/>
        <v>0</v>
      </c>
      <c r="J157" s="3015"/>
      <c r="K157" s="3016"/>
      <c r="L157" s="3024"/>
      <c r="M157" s="3025"/>
      <c r="N157" s="3026"/>
      <c r="O157" s="2030"/>
      <c r="P157" s="1387"/>
      <c r="Q157" s="1387"/>
      <c r="R157" s="1388"/>
      <c r="S157" s="1229">
        <f t="shared" si="51"/>
        <v>0</v>
      </c>
      <c r="T157" s="1229" t="str">
        <f t="shared" si="52"/>
        <v/>
      </c>
      <c r="U157" s="1229">
        <f t="shared" si="37"/>
        <v>0</v>
      </c>
      <c r="V157" s="1229">
        <f t="shared" si="55"/>
        <v>0</v>
      </c>
      <c r="W157" s="1229">
        <f t="shared" si="56"/>
        <v>0</v>
      </c>
      <c r="X157" s="1230"/>
      <c r="Y157" s="1230"/>
      <c r="Z157" s="1230"/>
      <c r="AA157" s="1230"/>
    </row>
    <row r="158" spans="2:27" s="1231" customFormat="1" x14ac:dyDescent="0.2">
      <c r="B158" s="1385" t="s">
        <v>842</v>
      </c>
      <c r="C158" s="2988"/>
      <c r="D158" s="2989"/>
      <c r="E158" s="2990"/>
      <c r="F158" s="1386"/>
      <c r="G158" s="1322">
        <f t="shared" si="53"/>
        <v>0</v>
      </c>
      <c r="H158" s="1443">
        <f t="shared" si="54"/>
        <v>0</v>
      </c>
      <c r="I158" s="1223">
        <f t="shared" si="50"/>
        <v>0</v>
      </c>
      <c r="J158" s="3015"/>
      <c r="K158" s="3016"/>
      <c r="L158" s="3024"/>
      <c r="M158" s="3025"/>
      <c r="N158" s="3026"/>
      <c r="O158" s="2030"/>
      <c r="P158" s="1387"/>
      <c r="Q158" s="1387"/>
      <c r="R158" s="1388"/>
      <c r="S158" s="1229">
        <f t="shared" si="51"/>
        <v>0</v>
      </c>
      <c r="T158" s="1229" t="str">
        <f t="shared" si="52"/>
        <v/>
      </c>
      <c r="U158" s="1229">
        <f t="shared" si="37"/>
        <v>0</v>
      </c>
      <c r="V158" s="1229">
        <f t="shared" si="55"/>
        <v>0</v>
      </c>
      <c r="W158" s="1229">
        <f t="shared" si="56"/>
        <v>0</v>
      </c>
      <c r="X158" s="1230"/>
      <c r="Y158" s="1230"/>
      <c r="Z158" s="1230"/>
      <c r="AA158" s="1230"/>
    </row>
    <row r="159" spans="2:27" s="1231" customFormat="1" x14ac:dyDescent="0.2">
      <c r="B159" s="1385" t="s">
        <v>843</v>
      </c>
      <c r="C159" s="2988"/>
      <c r="D159" s="2989"/>
      <c r="E159" s="2990"/>
      <c r="F159" s="1386"/>
      <c r="G159" s="1322">
        <f t="shared" si="53"/>
        <v>0</v>
      </c>
      <c r="H159" s="1443">
        <f t="shared" si="54"/>
        <v>0</v>
      </c>
      <c r="I159" s="1223">
        <f t="shared" si="50"/>
        <v>0</v>
      </c>
      <c r="J159" s="3015"/>
      <c r="K159" s="3016"/>
      <c r="L159" s="3024"/>
      <c r="M159" s="3025"/>
      <c r="N159" s="3026"/>
      <c r="O159" s="2030"/>
      <c r="P159" s="1387"/>
      <c r="Q159" s="1387"/>
      <c r="R159" s="1388"/>
      <c r="S159" s="1229">
        <f t="shared" si="51"/>
        <v>0</v>
      </c>
      <c r="T159" s="1229" t="str">
        <f t="shared" si="52"/>
        <v/>
      </c>
      <c r="U159" s="1229">
        <f t="shared" si="37"/>
        <v>0</v>
      </c>
      <c r="V159" s="1229">
        <f t="shared" si="55"/>
        <v>0</v>
      </c>
      <c r="W159" s="1229">
        <f t="shared" si="56"/>
        <v>0</v>
      </c>
      <c r="X159" s="1230"/>
      <c r="Y159" s="1230"/>
      <c r="Z159" s="1230"/>
      <c r="AA159" s="1230"/>
    </row>
    <row r="160" spans="2:27" s="1231" customFormat="1" x14ac:dyDescent="0.2">
      <c r="B160" s="1385" t="s">
        <v>844</v>
      </c>
      <c r="C160" s="2988"/>
      <c r="D160" s="2989"/>
      <c r="E160" s="2990"/>
      <c r="F160" s="1386"/>
      <c r="G160" s="1322">
        <f t="shared" si="53"/>
        <v>0</v>
      </c>
      <c r="H160" s="1443">
        <f t="shared" si="54"/>
        <v>0</v>
      </c>
      <c r="I160" s="1223">
        <f t="shared" si="50"/>
        <v>0</v>
      </c>
      <c r="J160" s="3015"/>
      <c r="K160" s="3016"/>
      <c r="L160" s="3024"/>
      <c r="M160" s="3025"/>
      <c r="N160" s="3026"/>
      <c r="O160" s="2030"/>
      <c r="P160" s="1387"/>
      <c r="Q160" s="1387"/>
      <c r="R160" s="1388"/>
      <c r="S160" s="1229">
        <f t="shared" si="51"/>
        <v>0</v>
      </c>
      <c r="T160" s="1229" t="str">
        <f t="shared" si="52"/>
        <v/>
      </c>
      <c r="U160" s="1229">
        <f t="shared" si="37"/>
        <v>0</v>
      </c>
      <c r="V160" s="1229">
        <f t="shared" si="55"/>
        <v>0</v>
      </c>
      <c r="W160" s="1229">
        <f t="shared" si="56"/>
        <v>0</v>
      </c>
      <c r="X160" s="1230"/>
      <c r="Y160" s="1230"/>
      <c r="Z160" s="1230"/>
      <c r="AA160" s="1230"/>
    </row>
    <row r="161" spans="2:27" s="1231" customFormat="1" x14ac:dyDescent="0.2">
      <c r="B161" s="1385" t="s">
        <v>845</v>
      </c>
      <c r="C161" s="2988"/>
      <c r="D161" s="2989"/>
      <c r="E161" s="2990"/>
      <c r="F161" s="1386"/>
      <c r="G161" s="1322">
        <f t="shared" si="53"/>
        <v>0</v>
      </c>
      <c r="H161" s="1443">
        <f t="shared" si="54"/>
        <v>0</v>
      </c>
      <c r="I161" s="1223">
        <f t="shared" si="50"/>
        <v>0</v>
      </c>
      <c r="J161" s="3015"/>
      <c r="K161" s="3016"/>
      <c r="L161" s="3024"/>
      <c r="M161" s="3025"/>
      <c r="N161" s="3026"/>
      <c r="O161" s="2030"/>
      <c r="P161" s="1387"/>
      <c r="Q161" s="1387"/>
      <c r="R161" s="1388"/>
      <c r="S161" s="1229">
        <f t="shared" si="51"/>
        <v>0</v>
      </c>
      <c r="T161" s="1229" t="str">
        <f t="shared" si="52"/>
        <v/>
      </c>
      <c r="U161" s="1229">
        <f t="shared" si="37"/>
        <v>0</v>
      </c>
      <c r="V161" s="1229">
        <f t="shared" si="55"/>
        <v>0</v>
      </c>
      <c r="W161" s="1229">
        <f t="shared" si="56"/>
        <v>0</v>
      </c>
      <c r="X161" s="1230"/>
      <c r="Y161" s="1230"/>
      <c r="Z161" s="1230"/>
      <c r="AA161" s="1230"/>
    </row>
    <row r="162" spans="2:27" s="1231" customFormat="1" x14ac:dyDescent="0.2">
      <c r="B162" s="1385" t="s">
        <v>846</v>
      </c>
      <c r="C162" s="2988"/>
      <c r="D162" s="2989"/>
      <c r="E162" s="2990"/>
      <c r="F162" s="1386"/>
      <c r="G162" s="1322">
        <f t="shared" si="53"/>
        <v>0</v>
      </c>
      <c r="H162" s="1443">
        <f t="shared" si="54"/>
        <v>0</v>
      </c>
      <c r="I162" s="1223">
        <f t="shared" si="50"/>
        <v>0</v>
      </c>
      <c r="J162" s="3015"/>
      <c r="K162" s="3016"/>
      <c r="L162" s="3024"/>
      <c r="M162" s="3025"/>
      <c r="N162" s="3026"/>
      <c r="O162" s="2030"/>
      <c r="P162" s="1387"/>
      <c r="Q162" s="1387"/>
      <c r="R162" s="1388"/>
      <c r="S162" s="1229">
        <f t="shared" si="51"/>
        <v>0</v>
      </c>
      <c r="T162" s="1229" t="str">
        <f t="shared" si="52"/>
        <v/>
      </c>
      <c r="U162" s="1229">
        <f t="shared" si="37"/>
        <v>0</v>
      </c>
      <c r="V162" s="1229">
        <f t="shared" si="55"/>
        <v>0</v>
      </c>
      <c r="W162" s="1229">
        <f t="shared" si="56"/>
        <v>0</v>
      </c>
      <c r="X162" s="1230"/>
      <c r="Y162" s="1230"/>
      <c r="Z162" s="1230"/>
      <c r="AA162" s="1230"/>
    </row>
    <row r="163" spans="2:27" s="1231" customFormat="1" x14ac:dyDescent="0.2">
      <c r="B163" s="1385" t="s">
        <v>847</v>
      </c>
      <c r="C163" s="2988"/>
      <c r="D163" s="2989"/>
      <c r="E163" s="2990"/>
      <c r="F163" s="1386"/>
      <c r="G163" s="1322">
        <f t="shared" si="53"/>
        <v>0</v>
      </c>
      <c r="H163" s="1443">
        <f t="shared" si="54"/>
        <v>0</v>
      </c>
      <c r="I163" s="1223">
        <f t="shared" si="50"/>
        <v>0</v>
      </c>
      <c r="J163" s="3015"/>
      <c r="K163" s="3016"/>
      <c r="L163" s="3024"/>
      <c r="M163" s="3025"/>
      <c r="N163" s="3026"/>
      <c r="O163" s="2030"/>
      <c r="P163" s="1387"/>
      <c r="Q163" s="1387"/>
      <c r="R163" s="1388"/>
      <c r="S163" s="1229">
        <f t="shared" si="51"/>
        <v>0</v>
      </c>
      <c r="T163" s="1229" t="str">
        <f t="shared" si="52"/>
        <v/>
      </c>
      <c r="U163" s="1229">
        <f t="shared" si="37"/>
        <v>0</v>
      </c>
      <c r="V163" s="1229">
        <f t="shared" si="55"/>
        <v>0</v>
      </c>
      <c r="W163" s="1229">
        <f t="shared" si="56"/>
        <v>0</v>
      </c>
      <c r="X163" s="1230"/>
      <c r="Y163" s="1230"/>
      <c r="Z163" s="1230"/>
      <c r="AA163" s="1230"/>
    </row>
    <row r="164" spans="2:27" s="1231" customFormat="1" x14ac:dyDescent="0.2">
      <c r="B164" s="1385" t="s">
        <v>848</v>
      </c>
      <c r="C164" s="2988"/>
      <c r="D164" s="2989"/>
      <c r="E164" s="2990"/>
      <c r="F164" s="1386"/>
      <c r="G164" s="1322">
        <f t="shared" si="53"/>
        <v>0</v>
      </c>
      <c r="H164" s="1443">
        <f t="shared" si="54"/>
        <v>0</v>
      </c>
      <c r="I164" s="1223">
        <f t="shared" si="50"/>
        <v>0</v>
      </c>
      <c r="J164" s="3015"/>
      <c r="K164" s="3016"/>
      <c r="L164" s="3024"/>
      <c r="M164" s="3025"/>
      <c r="N164" s="3026"/>
      <c r="O164" s="2030"/>
      <c r="P164" s="1387"/>
      <c r="Q164" s="1387"/>
      <c r="R164" s="1388"/>
      <c r="S164" s="1229">
        <f t="shared" si="51"/>
        <v>0</v>
      </c>
      <c r="T164" s="1229" t="str">
        <f t="shared" si="52"/>
        <v/>
      </c>
      <c r="U164" s="1229">
        <f t="shared" si="37"/>
        <v>0</v>
      </c>
      <c r="V164" s="1229">
        <f t="shared" si="55"/>
        <v>0</v>
      </c>
      <c r="W164" s="1229">
        <f t="shared" si="56"/>
        <v>0</v>
      </c>
      <c r="X164" s="1230"/>
      <c r="Y164" s="1230"/>
      <c r="Z164" s="1230"/>
      <c r="AA164" s="1230"/>
    </row>
    <row r="165" spans="2:27" s="1217" customFormat="1" x14ac:dyDescent="0.2">
      <c r="B165" s="1385" t="s">
        <v>849</v>
      </c>
      <c r="C165" s="3040"/>
      <c r="D165" s="3058"/>
      <c r="E165" s="3041"/>
      <c r="F165" s="1389"/>
      <c r="G165" s="1322">
        <f t="shared" si="53"/>
        <v>0</v>
      </c>
      <c r="H165" s="1443">
        <f t="shared" si="54"/>
        <v>0</v>
      </c>
      <c r="I165" s="1390">
        <f t="shared" si="50"/>
        <v>0</v>
      </c>
      <c r="J165" s="3059"/>
      <c r="K165" s="3060"/>
      <c r="L165" s="3024"/>
      <c r="M165" s="3025"/>
      <c r="N165" s="3026"/>
      <c r="O165" s="2031"/>
      <c r="P165" s="1391"/>
      <c r="Q165" s="1391"/>
      <c r="R165" s="1392"/>
      <c r="S165" s="1229">
        <f t="shared" si="51"/>
        <v>0</v>
      </c>
      <c r="T165" s="1229" t="str">
        <f t="shared" si="52"/>
        <v/>
      </c>
      <c r="U165" s="1229">
        <f t="shared" si="37"/>
        <v>0</v>
      </c>
      <c r="V165" s="1229">
        <f t="shared" si="55"/>
        <v>0</v>
      </c>
      <c r="W165" s="1229">
        <f t="shared" si="56"/>
        <v>0</v>
      </c>
      <c r="X165" s="1216"/>
      <c r="Y165" s="1216"/>
      <c r="Z165" s="1216"/>
      <c r="AA165" s="1216"/>
    </row>
    <row r="166" spans="2:27" s="1217" customFormat="1" x14ac:dyDescent="0.2">
      <c r="B166" s="1385" t="s">
        <v>850</v>
      </c>
      <c r="C166" s="3040"/>
      <c r="D166" s="3058"/>
      <c r="E166" s="3041"/>
      <c r="F166" s="1389"/>
      <c r="G166" s="1322">
        <f t="shared" si="53"/>
        <v>0</v>
      </c>
      <c r="H166" s="1443">
        <f t="shared" si="54"/>
        <v>0</v>
      </c>
      <c r="I166" s="1390">
        <f t="shared" si="50"/>
        <v>0</v>
      </c>
      <c r="J166" s="3059"/>
      <c r="K166" s="3060"/>
      <c r="L166" s="3024"/>
      <c r="M166" s="3025"/>
      <c r="N166" s="3026"/>
      <c r="O166" s="2031"/>
      <c r="P166" s="1391"/>
      <c r="Q166" s="1391"/>
      <c r="R166" s="1392"/>
      <c r="S166" s="1229">
        <f t="shared" si="51"/>
        <v>0</v>
      </c>
      <c r="T166" s="1229" t="str">
        <f t="shared" si="52"/>
        <v/>
      </c>
      <c r="U166" s="1229">
        <f t="shared" ref="U166:U255" si="57">IF(S166&lt;&gt;0,IF(T166&lt;&gt;"",IF(OR(T166="0.2",T166="0.4",T166="0.6"),1,IF(T166="0.8",2,IF(T166="1.0",3,0))),0),0)</f>
        <v>0</v>
      </c>
      <c r="V166" s="1229">
        <f t="shared" si="55"/>
        <v>0</v>
      </c>
      <c r="W166" s="1229">
        <f t="shared" si="56"/>
        <v>0</v>
      </c>
      <c r="X166" s="1216"/>
      <c r="Y166" s="1216"/>
      <c r="Z166" s="1216"/>
      <c r="AA166" s="1216"/>
    </row>
    <row r="167" spans="2:27" s="1217" customFormat="1" x14ac:dyDescent="0.2">
      <c r="B167" s="1385" t="s">
        <v>851</v>
      </c>
      <c r="C167" s="3040"/>
      <c r="D167" s="3058"/>
      <c r="E167" s="3041"/>
      <c r="F167" s="1389"/>
      <c r="G167" s="1322">
        <f t="shared" si="53"/>
        <v>0</v>
      </c>
      <c r="H167" s="1443">
        <f t="shared" si="54"/>
        <v>0</v>
      </c>
      <c r="I167" s="1390">
        <f t="shared" si="50"/>
        <v>0</v>
      </c>
      <c r="J167" s="3059"/>
      <c r="K167" s="3060"/>
      <c r="L167" s="3024"/>
      <c r="M167" s="3025"/>
      <c r="N167" s="3026"/>
      <c r="O167" s="2031"/>
      <c r="P167" s="1391"/>
      <c r="Q167" s="1391"/>
      <c r="R167" s="1392"/>
      <c r="S167" s="1229">
        <f t="shared" si="51"/>
        <v>0</v>
      </c>
      <c r="T167" s="1229" t="str">
        <f t="shared" si="52"/>
        <v/>
      </c>
      <c r="U167" s="1229">
        <f t="shared" si="57"/>
        <v>0</v>
      </c>
      <c r="V167" s="1229">
        <f t="shared" si="55"/>
        <v>0</v>
      </c>
      <c r="W167" s="1229">
        <f t="shared" si="56"/>
        <v>0</v>
      </c>
      <c r="X167" s="1216"/>
      <c r="Y167" s="1216"/>
      <c r="Z167" s="1216"/>
      <c r="AA167" s="1216"/>
    </row>
    <row r="168" spans="2:27" s="1217" customFormat="1" x14ac:dyDescent="0.2">
      <c r="B168" s="1385" t="s">
        <v>852</v>
      </c>
      <c r="C168" s="3040"/>
      <c r="D168" s="3058"/>
      <c r="E168" s="3041"/>
      <c r="F168" s="1389"/>
      <c r="G168" s="1322">
        <f t="shared" si="53"/>
        <v>0</v>
      </c>
      <c r="H168" s="1443">
        <f t="shared" si="54"/>
        <v>0</v>
      </c>
      <c r="I168" s="1390">
        <f t="shared" si="50"/>
        <v>0</v>
      </c>
      <c r="J168" s="3059"/>
      <c r="K168" s="3060"/>
      <c r="L168" s="3024"/>
      <c r="M168" s="3025"/>
      <c r="N168" s="3026"/>
      <c r="O168" s="2031"/>
      <c r="P168" s="1391"/>
      <c r="Q168" s="1391"/>
      <c r="R168" s="1392"/>
      <c r="S168" s="1229">
        <f t="shared" si="51"/>
        <v>0</v>
      </c>
      <c r="T168" s="1229" t="str">
        <f t="shared" si="52"/>
        <v/>
      </c>
      <c r="U168" s="1229">
        <f t="shared" si="57"/>
        <v>0</v>
      </c>
      <c r="V168" s="1229">
        <f t="shared" si="55"/>
        <v>0</v>
      </c>
      <c r="W168" s="1229">
        <f t="shared" si="56"/>
        <v>0</v>
      </c>
      <c r="X168" s="1216"/>
      <c r="Y168" s="1216"/>
      <c r="Z168" s="1216"/>
      <c r="AA168" s="1216"/>
    </row>
    <row r="169" spans="2:27" s="1217" customFormat="1" x14ac:dyDescent="0.2">
      <c r="B169" s="1385" t="s">
        <v>853</v>
      </c>
      <c r="C169" s="3040"/>
      <c r="D169" s="3058"/>
      <c r="E169" s="3041"/>
      <c r="F169" s="1389"/>
      <c r="G169" s="1322">
        <f t="shared" si="53"/>
        <v>0</v>
      </c>
      <c r="H169" s="1443">
        <f t="shared" si="54"/>
        <v>0</v>
      </c>
      <c r="I169" s="1390">
        <f t="shared" si="50"/>
        <v>0</v>
      </c>
      <c r="J169" s="3059"/>
      <c r="K169" s="3060"/>
      <c r="L169" s="3024"/>
      <c r="M169" s="3025"/>
      <c r="N169" s="3026"/>
      <c r="O169" s="2031"/>
      <c r="P169" s="1391"/>
      <c r="Q169" s="1391"/>
      <c r="R169" s="1392"/>
      <c r="S169" s="1229">
        <f t="shared" si="51"/>
        <v>0</v>
      </c>
      <c r="T169" s="1229" t="str">
        <f t="shared" si="52"/>
        <v/>
      </c>
      <c r="U169" s="1229">
        <f t="shared" si="57"/>
        <v>0</v>
      </c>
      <c r="V169" s="1229">
        <f t="shared" si="55"/>
        <v>0</v>
      </c>
      <c r="W169" s="1229">
        <f t="shared" si="56"/>
        <v>0</v>
      </c>
      <c r="X169" s="1216"/>
      <c r="Y169" s="1216"/>
      <c r="Z169" s="1216"/>
      <c r="AA169" s="1216"/>
    </row>
    <row r="170" spans="2:27" s="1217" customFormat="1" x14ac:dyDescent="0.2">
      <c r="B170" s="1385" t="s">
        <v>854</v>
      </c>
      <c r="C170" s="3040"/>
      <c r="D170" s="3058"/>
      <c r="E170" s="3041"/>
      <c r="F170" s="1389"/>
      <c r="G170" s="1322">
        <f t="shared" si="53"/>
        <v>0</v>
      </c>
      <c r="H170" s="1443">
        <f t="shared" si="54"/>
        <v>0</v>
      </c>
      <c r="I170" s="1390">
        <f t="shared" si="50"/>
        <v>0</v>
      </c>
      <c r="J170" s="3059"/>
      <c r="K170" s="3060"/>
      <c r="L170" s="3024"/>
      <c r="M170" s="3025"/>
      <c r="N170" s="3026"/>
      <c r="O170" s="2031"/>
      <c r="P170" s="1391"/>
      <c r="Q170" s="1391"/>
      <c r="R170" s="1392"/>
      <c r="S170" s="1229">
        <f t="shared" si="51"/>
        <v>0</v>
      </c>
      <c r="T170" s="1229" t="str">
        <f t="shared" si="52"/>
        <v/>
      </c>
      <c r="U170" s="1229">
        <f t="shared" si="57"/>
        <v>0</v>
      </c>
      <c r="V170" s="1229">
        <f t="shared" si="55"/>
        <v>0</v>
      </c>
      <c r="W170" s="1229">
        <f t="shared" si="56"/>
        <v>0</v>
      </c>
      <c r="X170" s="1216"/>
      <c r="Y170" s="1216"/>
      <c r="Z170" s="1216"/>
      <c r="AA170" s="1216"/>
    </row>
    <row r="171" spans="2:27" s="1217" customFormat="1" x14ac:dyDescent="0.2">
      <c r="B171" s="1385" t="s">
        <v>855</v>
      </c>
      <c r="C171" s="3040"/>
      <c r="D171" s="3058"/>
      <c r="E171" s="3041"/>
      <c r="F171" s="1389"/>
      <c r="G171" s="1322">
        <f t="shared" si="53"/>
        <v>0</v>
      </c>
      <c r="H171" s="1443">
        <f t="shared" si="54"/>
        <v>0</v>
      </c>
      <c r="I171" s="1390">
        <f t="shared" si="50"/>
        <v>0</v>
      </c>
      <c r="J171" s="3059"/>
      <c r="K171" s="3060"/>
      <c r="L171" s="3024"/>
      <c r="M171" s="3025"/>
      <c r="N171" s="3026"/>
      <c r="O171" s="2031"/>
      <c r="P171" s="1391"/>
      <c r="Q171" s="1391"/>
      <c r="R171" s="1392"/>
      <c r="S171" s="1229">
        <f t="shared" si="51"/>
        <v>0</v>
      </c>
      <c r="T171" s="1229" t="str">
        <f t="shared" si="52"/>
        <v/>
      </c>
      <c r="U171" s="1229">
        <f t="shared" si="57"/>
        <v>0</v>
      </c>
      <c r="V171" s="1229">
        <f t="shared" si="55"/>
        <v>0</v>
      </c>
      <c r="W171" s="1229">
        <f t="shared" si="56"/>
        <v>0</v>
      </c>
      <c r="X171" s="1216"/>
      <c r="Y171" s="1216"/>
      <c r="Z171" s="1216"/>
      <c r="AA171" s="1216"/>
    </row>
    <row r="172" spans="2:27" s="1217" customFormat="1" x14ac:dyDescent="0.2">
      <c r="B172" s="1385" t="s">
        <v>856</v>
      </c>
      <c r="C172" s="3040"/>
      <c r="D172" s="3058"/>
      <c r="E172" s="3041"/>
      <c r="F172" s="1389"/>
      <c r="G172" s="1322">
        <f t="shared" si="53"/>
        <v>0</v>
      </c>
      <c r="H172" s="1443">
        <f t="shared" si="54"/>
        <v>0</v>
      </c>
      <c r="I172" s="1390">
        <f t="shared" si="50"/>
        <v>0</v>
      </c>
      <c r="J172" s="3059"/>
      <c r="K172" s="3060"/>
      <c r="L172" s="3024"/>
      <c r="M172" s="3025"/>
      <c r="N172" s="3026"/>
      <c r="O172" s="2031"/>
      <c r="P172" s="1391"/>
      <c r="Q172" s="1391"/>
      <c r="R172" s="1392"/>
      <c r="S172" s="1229">
        <f t="shared" si="51"/>
        <v>0</v>
      </c>
      <c r="T172" s="1229" t="str">
        <f t="shared" si="52"/>
        <v/>
      </c>
      <c r="U172" s="1229">
        <f t="shared" si="57"/>
        <v>0</v>
      </c>
      <c r="V172" s="1229">
        <f t="shared" si="55"/>
        <v>0</v>
      </c>
      <c r="W172" s="1229">
        <f t="shared" si="56"/>
        <v>0</v>
      </c>
      <c r="X172" s="1216"/>
      <c r="Y172" s="1216"/>
      <c r="Z172" s="1216"/>
      <c r="AA172" s="1216"/>
    </row>
    <row r="173" spans="2:27" s="1217" customFormat="1" x14ac:dyDescent="0.2">
      <c r="B173" s="1385" t="s">
        <v>857</v>
      </c>
      <c r="C173" s="3040"/>
      <c r="D173" s="3058"/>
      <c r="E173" s="3041"/>
      <c r="F173" s="1389"/>
      <c r="G173" s="1322">
        <f t="shared" si="53"/>
        <v>0</v>
      </c>
      <c r="H173" s="1443">
        <f t="shared" si="54"/>
        <v>0</v>
      </c>
      <c r="I173" s="1390">
        <f t="shared" si="50"/>
        <v>0</v>
      </c>
      <c r="J173" s="3059"/>
      <c r="K173" s="3060"/>
      <c r="L173" s="3024"/>
      <c r="M173" s="3025"/>
      <c r="N173" s="3026"/>
      <c r="O173" s="2031"/>
      <c r="P173" s="1391"/>
      <c r="Q173" s="1391"/>
      <c r="R173" s="1392"/>
      <c r="S173" s="1229">
        <f t="shared" si="51"/>
        <v>0</v>
      </c>
      <c r="T173" s="1229" t="str">
        <f t="shared" si="52"/>
        <v/>
      </c>
      <c r="U173" s="1229">
        <f t="shared" si="57"/>
        <v>0</v>
      </c>
      <c r="V173" s="1229">
        <f t="shared" si="55"/>
        <v>0</v>
      </c>
      <c r="W173" s="1229">
        <f t="shared" si="56"/>
        <v>0</v>
      </c>
      <c r="X173" s="1216"/>
      <c r="Y173" s="1216"/>
      <c r="Z173" s="1216"/>
      <c r="AA173" s="1216"/>
    </row>
    <row r="174" spans="2:27" s="1217" customFormat="1" x14ac:dyDescent="0.2">
      <c r="B174" s="1385" t="s">
        <v>858</v>
      </c>
      <c r="C174" s="3040"/>
      <c r="D174" s="3058"/>
      <c r="E174" s="3041"/>
      <c r="F174" s="1389"/>
      <c r="G174" s="1322">
        <f t="shared" si="53"/>
        <v>0</v>
      </c>
      <c r="H174" s="1443">
        <f t="shared" si="54"/>
        <v>0</v>
      </c>
      <c r="I174" s="1390">
        <f t="shared" si="50"/>
        <v>0</v>
      </c>
      <c r="J174" s="3059"/>
      <c r="K174" s="3060"/>
      <c r="L174" s="3024"/>
      <c r="M174" s="3025"/>
      <c r="N174" s="3026"/>
      <c r="O174" s="2031"/>
      <c r="P174" s="1391"/>
      <c r="Q174" s="1391"/>
      <c r="R174" s="1392"/>
      <c r="S174" s="1229">
        <f t="shared" si="51"/>
        <v>0</v>
      </c>
      <c r="T174" s="1229" t="str">
        <f t="shared" si="52"/>
        <v/>
      </c>
      <c r="U174" s="1229">
        <f t="shared" si="57"/>
        <v>0</v>
      </c>
      <c r="V174" s="1229">
        <f t="shared" si="55"/>
        <v>0</v>
      </c>
      <c r="W174" s="1229">
        <f t="shared" si="56"/>
        <v>0</v>
      </c>
      <c r="X174" s="1216"/>
      <c r="Y174" s="1216"/>
      <c r="Z174" s="1216"/>
      <c r="AA174" s="1216"/>
    </row>
    <row r="175" spans="2:27" s="1217" customFormat="1" ht="21" customHeight="1" x14ac:dyDescent="0.2">
      <c r="B175" s="1393"/>
      <c r="C175" s="1394"/>
      <c r="D175" s="1394"/>
      <c r="E175" s="1395"/>
      <c r="F175" s="1396"/>
      <c r="G175" s="1397" t="s">
        <v>877</v>
      </c>
      <c r="H175" s="1398">
        <f>SUM(H155:H174)</f>
        <v>0</v>
      </c>
      <c r="I175" s="1399">
        <f>SUM(I155:I174)</f>
        <v>0</v>
      </c>
      <c r="J175" s="1429"/>
      <c r="K175" s="1430"/>
      <c r="L175" s="1402"/>
      <c r="M175" s="1652">
        <f>SUM(V155:V174)</f>
        <v>0</v>
      </c>
      <c r="N175" s="1444"/>
      <c r="O175" s="1403">
        <f>COUNTIF(S155:S174,"3")</f>
        <v>0</v>
      </c>
      <c r="P175" s="1405"/>
      <c r="Q175" s="1405"/>
      <c r="R175" s="1406"/>
      <c r="S175" s="1229"/>
      <c r="T175" s="1229"/>
      <c r="U175" s="1229"/>
      <c r="V175" s="1229"/>
      <c r="W175" s="1197">
        <f>SUM(W155:W174)</f>
        <v>0</v>
      </c>
      <c r="X175" s="1216"/>
      <c r="Y175" s="1216"/>
      <c r="Z175" s="1216"/>
      <c r="AA175" s="1216"/>
    </row>
    <row r="176" spans="2:27" s="1304" customFormat="1" ht="12.75" customHeight="1" x14ac:dyDescent="0.2">
      <c r="B176" s="1445"/>
      <c r="C176" s="1411"/>
      <c r="D176" s="1411"/>
      <c r="E176" s="1411"/>
      <c r="F176" s="1411"/>
      <c r="G176" s="1446"/>
      <c r="H176" s="1447"/>
      <c r="I176" s="1410"/>
      <c r="J176" s="1448"/>
      <c r="K176" s="1448"/>
      <c r="L176" s="1448"/>
      <c r="M176" s="1434"/>
      <c r="N176" s="1434"/>
      <c r="O176" s="1434"/>
      <c r="P176" s="1434"/>
      <c r="Q176" s="1434"/>
      <c r="R176" s="1435"/>
      <c r="S176" s="1229"/>
      <c r="T176" s="1229"/>
      <c r="U176" s="1229"/>
      <c r="V176" s="1229"/>
      <c r="W176" s="1302"/>
      <c r="X176" s="1302"/>
      <c r="Y176" s="1302"/>
      <c r="Z176" s="1302"/>
      <c r="AA176" s="1302"/>
    </row>
    <row r="177" spans="2:27" s="1187" customFormat="1" ht="21" customHeight="1" x14ac:dyDescent="0.2">
      <c r="B177" s="1436" t="s">
        <v>878</v>
      </c>
      <c r="C177" s="1437"/>
      <c r="D177" s="1449"/>
      <c r="E177" s="1450"/>
      <c r="F177" s="1450"/>
      <c r="G177" s="1450"/>
      <c r="H177" s="1451"/>
      <c r="I177" s="1452"/>
      <c r="J177" s="2964" t="s">
        <v>861</v>
      </c>
      <c r="K177" s="2965"/>
      <c r="L177" s="2965"/>
      <c r="M177" s="2965"/>
      <c r="N177" s="2965"/>
      <c r="O177" s="2965"/>
      <c r="P177" s="2965"/>
      <c r="Q177" s="2965"/>
      <c r="R177" s="2966"/>
      <c r="S177" s="1229"/>
      <c r="T177" s="1229"/>
      <c r="U177" s="1229"/>
      <c r="V177" s="1229"/>
      <c r="W177" s="1185"/>
      <c r="X177" s="1185"/>
      <c r="Y177" s="1185"/>
      <c r="Z177" s="1185"/>
      <c r="AA177" s="1185"/>
    </row>
    <row r="178" spans="2:27" s="1217" customFormat="1" x14ac:dyDescent="0.2">
      <c r="B178" s="1353"/>
      <c r="C178" s="3061" t="s">
        <v>873</v>
      </c>
      <c r="D178" s="3062"/>
      <c r="E178" s="3063"/>
      <c r="F178" s="1354" t="s">
        <v>820</v>
      </c>
      <c r="G178" s="1355" t="s">
        <v>821</v>
      </c>
      <c r="H178" s="1191" t="s">
        <v>639</v>
      </c>
      <c r="I178" s="1192" t="s">
        <v>639</v>
      </c>
      <c r="J178" s="3003" t="s">
        <v>822</v>
      </c>
      <c r="K178" s="3004"/>
      <c r="L178" s="3000" t="s">
        <v>874</v>
      </c>
      <c r="M178" s="3001"/>
      <c r="N178" s="3002"/>
      <c r="O178" s="1354" t="s">
        <v>875</v>
      </c>
      <c r="P178" s="3005" t="s">
        <v>825</v>
      </c>
      <c r="Q178" s="3005"/>
      <c r="R178" s="3006"/>
      <c r="S178" s="1229"/>
      <c r="T178" s="1229"/>
      <c r="U178" s="1229"/>
      <c r="V178" s="1229"/>
      <c r="W178" s="1216"/>
      <c r="X178" s="1216"/>
      <c r="Y178" s="1216"/>
      <c r="Z178" s="1216"/>
      <c r="AA178" s="1216"/>
    </row>
    <row r="179" spans="2:27" s="1364" customFormat="1" x14ac:dyDescent="0.2">
      <c r="B179" s="1356"/>
      <c r="C179" s="3064"/>
      <c r="D179" s="3065"/>
      <c r="E179" s="3066"/>
      <c r="F179" s="1360" t="s">
        <v>826</v>
      </c>
      <c r="G179" s="1315"/>
      <c r="H179" s="1315" t="s">
        <v>641</v>
      </c>
      <c r="I179" s="1316" t="s">
        <v>510</v>
      </c>
      <c r="J179" s="3017" t="s">
        <v>827</v>
      </c>
      <c r="K179" s="3018"/>
      <c r="L179" s="3027" t="s">
        <v>828</v>
      </c>
      <c r="M179" s="3028"/>
      <c r="N179" s="3029"/>
      <c r="O179" s="1441" t="s">
        <v>1245</v>
      </c>
      <c r="P179" s="1189" t="s">
        <v>830</v>
      </c>
      <c r="Q179" s="1189" t="s">
        <v>831</v>
      </c>
      <c r="R179" s="1361" t="s">
        <v>832</v>
      </c>
      <c r="S179" s="1229"/>
      <c r="T179" s="1229"/>
      <c r="U179" s="1229"/>
      <c r="V179" s="1229"/>
      <c r="W179" s="1362"/>
      <c r="X179" s="1362"/>
      <c r="Y179" s="1362"/>
      <c r="Z179" s="1362"/>
      <c r="AA179" s="1362"/>
    </row>
    <row r="180" spans="2:27" s="1209" customFormat="1" x14ac:dyDescent="0.2">
      <c r="B180" s="1199"/>
      <c r="C180" s="3067"/>
      <c r="D180" s="3068"/>
      <c r="E180" s="3069"/>
      <c r="F180" s="1367" t="s">
        <v>827</v>
      </c>
      <c r="G180" s="1201"/>
      <c r="H180" s="1368"/>
      <c r="I180" s="1321"/>
      <c r="J180" s="1369"/>
      <c r="K180" s="1370"/>
      <c r="L180" s="1371"/>
      <c r="M180" s="3030"/>
      <c r="N180" s="3031"/>
      <c r="O180" s="1370"/>
      <c r="P180" s="1201"/>
      <c r="Q180" s="1201" t="s">
        <v>833</v>
      </c>
      <c r="R180" s="1373" t="s">
        <v>834</v>
      </c>
      <c r="S180" s="1229"/>
      <c r="T180" s="1229"/>
      <c r="U180" s="1229"/>
      <c r="V180" s="1229"/>
      <c r="W180" s="1207"/>
      <c r="X180" s="1207"/>
      <c r="Y180" s="1207"/>
      <c r="Z180" s="1207"/>
      <c r="AA180" s="1207"/>
    </row>
    <row r="181" spans="2:27" s="1384" customFormat="1" ht="12.75" customHeight="1" x14ac:dyDescent="0.2">
      <c r="B181" s="1374" t="s">
        <v>646</v>
      </c>
      <c r="C181" s="3055" t="s">
        <v>835</v>
      </c>
      <c r="D181" s="3056"/>
      <c r="E181" s="3057"/>
      <c r="F181" s="1442" t="s">
        <v>300</v>
      </c>
      <c r="G181" s="1376">
        <f>IF(F181="",0,IF(F181="ระดับชาติ",45,IF(F181="ระดับนานาชาติ",90,45)))</f>
        <v>90</v>
      </c>
      <c r="H181" s="1377">
        <f>IF(C181&lt;&gt;"",G181,0)</f>
        <v>90</v>
      </c>
      <c r="I181" s="1378">
        <f t="shared" ref="I181:I201" si="58">H181/15</f>
        <v>6</v>
      </c>
      <c r="J181" s="3070" t="s">
        <v>320</v>
      </c>
      <c r="K181" s="3071"/>
      <c r="L181" s="3032" t="s">
        <v>836</v>
      </c>
      <c r="M181" s="3033"/>
      <c r="N181" s="3034"/>
      <c r="O181" s="2029">
        <v>240817</v>
      </c>
      <c r="P181" s="1379" t="s">
        <v>299</v>
      </c>
      <c r="Q181" s="1379" t="s">
        <v>299</v>
      </c>
      <c r="R181" s="1380"/>
      <c r="S181" s="1229"/>
      <c r="T181" s="1229"/>
      <c r="U181" s="1229"/>
      <c r="V181" s="1229"/>
      <c r="W181" s="1383" t="s">
        <v>876</v>
      </c>
      <c r="X181" s="1383"/>
      <c r="Y181" s="1382"/>
      <c r="Z181" s="1382"/>
      <c r="AA181" s="1382"/>
    </row>
    <row r="182" spans="2:27" s="1231" customFormat="1" x14ac:dyDescent="0.2">
      <c r="B182" s="1385" t="s">
        <v>839</v>
      </c>
      <c r="C182" s="2988"/>
      <c r="D182" s="2989"/>
      <c r="E182" s="2990"/>
      <c r="F182" s="1386"/>
      <c r="G182" s="1322">
        <f>IF(F182="",0,IF(F182="ระดับชาติ",45,IF(F182="ระดับนานาชาติ",90,45)))</f>
        <v>0</v>
      </c>
      <c r="H182" s="1443">
        <f>IF(C182&lt;&gt;"",G182,0)</f>
        <v>0</v>
      </c>
      <c r="I182" s="1223">
        <f t="shared" si="58"/>
        <v>0</v>
      </c>
      <c r="J182" s="3015"/>
      <c r="K182" s="3016"/>
      <c r="L182" s="3024"/>
      <c r="M182" s="3025"/>
      <c r="N182" s="3026"/>
      <c r="O182" s="2030"/>
      <c r="P182" s="1387"/>
      <c r="Q182" s="1387"/>
      <c r="R182" s="1388"/>
      <c r="S182" s="1229">
        <f t="shared" ref="S182:S201" si="59">IF(AND(F182&lt;&gt;"",C182&lt;&gt;""),IF(AND(F182="ระดับชาติ",C182&lt;&gt;""),3,IF(AND(F182="ระดับนานาชาติ",C182&lt;&gt;""),5,0)),0)</f>
        <v>0</v>
      </c>
      <c r="T182" s="1229" t="str">
        <f t="shared" ref="T182:T201" si="60">IF(J182&lt;&gt;"",MID(J182,1,3),"")</f>
        <v/>
      </c>
      <c r="U182" s="1229">
        <f t="shared" si="57"/>
        <v>0</v>
      </c>
      <c r="V182" s="1229">
        <f>IF(O182="",0,IF(U182=1,IF(AND(O182&gt;=$S$21,O182&lt;=$T$21),1,0),IF(U182=2,IF(AND(O182&gt;=$S$21,O182&lt;=$T$21),1,0),IF(U182=3,IF(AND(O182&gt;=$S$21,O182&lt;=$T$21),1,0),0))))</f>
        <v>0</v>
      </c>
      <c r="W182" s="1229">
        <f>IF(U182&lt;&gt;0,1,0)</f>
        <v>0</v>
      </c>
      <c r="X182" s="1230"/>
      <c r="Y182" s="1230"/>
      <c r="Z182" s="1230"/>
      <c r="AA182" s="1230"/>
    </row>
    <row r="183" spans="2:27" s="1231" customFormat="1" x14ac:dyDescent="0.2">
      <c r="B183" s="1385" t="s">
        <v>840</v>
      </c>
      <c r="C183" s="2988"/>
      <c r="D183" s="2989"/>
      <c r="E183" s="2990"/>
      <c r="F183" s="1386"/>
      <c r="G183" s="1322">
        <f t="shared" ref="G183:G201" si="61">IF(F183="",0,IF(F183="ระดับชาติ",45,IF(F183="ระดับนานาชาติ",90,45)))</f>
        <v>0</v>
      </c>
      <c r="H183" s="1443">
        <f t="shared" ref="H183:H201" si="62">IF(C183&lt;&gt;"",G183,0)</f>
        <v>0</v>
      </c>
      <c r="I183" s="1223">
        <f t="shared" si="58"/>
        <v>0</v>
      </c>
      <c r="J183" s="3015"/>
      <c r="K183" s="3016"/>
      <c r="L183" s="3024"/>
      <c r="M183" s="3025"/>
      <c r="N183" s="3026"/>
      <c r="O183" s="2030"/>
      <c r="P183" s="1387"/>
      <c r="Q183" s="1387"/>
      <c r="R183" s="1388"/>
      <c r="S183" s="1229">
        <f t="shared" si="59"/>
        <v>0</v>
      </c>
      <c r="T183" s="1229" t="str">
        <f t="shared" si="60"/>
        <v/>
      </c>
      <c r="U183" s="1229">
        <f t="shared" si="57"/>
        <v>0</v>
      </c>
      <c r="V183" s="1229">
        <f t="shared" ref="V183:V201" si="63">IF(O183="",0,IF(U183=1,IF(AND(O183&gt;=$S$21,O183&lt;=$T$21),1,0),IF(U183=2,IF(AND(O183&gt;=$S$21,O183&lt;=$T$21),1,0),IF(U183=3,IF(AND(O183&gt;=$S$21,O183&lt;=$T$21),1,0),0))))</f>
        <v>0</v>
      </c>
      <c r="W183" s="1229">
        <f t="shared" ref="W183:W201" si="64">IF(U183&lt;&gt;0,1,0)</f>
        <v>0</v>
      </c>
      <c r="X183" s="1230"/>
      <c r="Y183" s="1230"/>
      <c r="Z183" s="1230"/>
      <c r="AA183" s="1230"/>
    </row>
    <row r="184" spans="2:27" s="1231" customFormat="1" x14ac:dyDescent="0.2">
      <c r="B184" s="1385" t="s">
        <v>841</v>
      </c>
      <c r="C184" s="2988"/>
      <c r="D184" s="2989"/>
      <c r="E184" s="2990"/>
      <c r="F184" s="1386"/>
      <c r="G184" s="1322">
        <f t="shared" si="61"/>
        <v>0</v>
      </c>
      <c r="H184" s="1443">
        <f t="shared" si="62"/>
        <v>0</v>
      </c>
      <c r="I184" s="1223">
        <f t="shared" si="58"/>
        <v>0</v>
      </c>
      <c r="J184" s="3015"/>
      <c r="K184" s="3016"/>
      <c r="L184" s="3024"/>
      <c r="M184" s="3025"/>
      <c r="N184" s="3026"/>
      <c r="O184" s="2030"/>
      <c r="P184" s="1387"/>
      <c r="Q184" s="1387"/>
      <c r="R184" s="1388"/>
      <c r="S184" s="1229">
        <f t="shared" si="59"/>
        <v>0</v>
      </c>
      <c r="T184" s="1229" t="str">
        <f t="shared" si="60"/>
        <v/>
      </c>
      <c r="U184" s="1229">
        <f t="shared" si="57"/>
        <v>0</v>
      </c>
      <c r="V184" s="1229">
        <f t="shared" si="63"/>
        <v>0</v>
      </c>
      <c r="W184" s="1229">
        <f t="shared" si="64"/>
        <v>0</v>
      </c>
      <c r="X184" s="1230"/>
      <c r="Y184" s="1230"/>
      <c r="Z184" s="1230"/>
      <c r="AA184" s="1230"/>
    </row>
    <row r="185" spans="2:27" s="1231" customFormat="1" x14ac:dyDescent="0.2">
      <c r="B185" s="1385" t="s">
        <v>842</v>
      </c>
      <c r="C185" s="2988"/>
      <c r="D185" s="2989"/>
      <c r="E185" s="2990"/>
      <c r="F185" s="1386"/>
      <c r="G185" s="1322">
        <f t="shared" si="61"/>
        <v>0</v>
      </c>
      <c r="H185" s="1443">
        <f t="shared" si="62"/>
        <v>0</v>
      </c>
      <c r="I185" s="1223">
        <f t="shared" si="58"/>
        <v>0</v>
      </c>
      <c r="J185" s="3015"/>
      <c r="K185" s="3016"/>
      <c r="L185" s="3024"/>
      <c r="M185" s="3025"/>
      <c r="N185" s="3026"/>
      <c r="O185" s="2030"/>
      <c r="P185" s="1387"/>
      <c r="Q185" s="1387"/>
      <c r="R185" s="1388"/>
      <c r="S185" s="1229">
        <f t="shared" si="59"/>
        <v>0</v>
      </c>
      <c r="T185" s="1229" t="str">
        <f t="shared" si="60"/>
        <v/>
      </c>
      <c r="U185" s="1229">
        <f t="shared" si="57"/>
        <v>0</v>
      </c>
      <c r="V185" s="1229">
        <f t="shared" si="63"/>
        <v>0</v>
      </c>
      <c r="W185" s="1229">
        <f t="shared" si="64"/>
        <v>0</v>
      </c>
      <c r="X185" s="1230"/>
      <c r="Y185" s="1230"/>
      <c r="Z185" s="1230"/>
      <c r="AA185" s="1230"/>
    </row>
    <row r="186" spans="2:27" s="1231" customFormat="1" x14ac:dyDescent="0.2">
      <c r="B186" s="1385" t="s">
        <v>843</v>
      </c>
      <c r="C186" s="2988"/>
      <c r="D186" s="2989"/>
      <c r="E186" s="2990"/>
      <c r="F186" s="1386"/>
      <c r="G186" s="1322">
        <f t="shared" si="61"/>
        <v>0</v>
      </c>
      <c r="H186" s="1443">
        <f t="shared" si="62"/>
        <v>0</v>
      </c>
      <c r="I186" s="1223">
        <f t="shared" si="58"/>
        <v>0</v>
      </c>
      <c r="J186" s="3015"/>
      <c r="K186" s="3016"/>
      <c r="L186" s="3024"/>
      <c r="M186" s="3025"/>
      <c r="N186" s="3026"/>
      <c r="O186" s="2030"/>
      <c r="P186" s="1387"/>
      <c r="Q186" s="1387"/>
      <c r="R186" s="1388"/>
      <c r="S186" s="1229">
        <f t="shared" si="59"/>
        <v>0</v>
      </c>
      <c r="T186" s="1229" t="str">
        <f t="shared" si="60"/>
        <v/>
      </c>
      <c r="U186" s="1229">
        <f t="shared" si="57"/>
        <v>0</v>
      </c>
      <c r="V186" s="1229">
        <f t="shared" si="63"/>
        <v>0</v>
      </c>
      <c r="W186" s="1229">
        <f t="shared" si="64"/>
        <v>0</v>
      </c>
      <c r="X186" s="1230"/>
      <c r="Y186" s="1230"/>
      <c r="Z186" s="1230"/>
      <c r="AA186" s="1230"/>
    </row>
    <row r="187" spans="2:27" s="1231" customFormat="1" x14ac:dyDescent="0.2">
      <c r="B187" s="1385" t="s">
        <v>844</v>
      </c>
      <c r="C187" s="2988"/>
      <c r="D187" s="2989"/>
      <c r="E187" s="2990"/>
      <c r="F187" s="1386"/>
      <c r="G187" s="1322">
        <f t="shared" si="61"/>
        <v>0</v>
      </c>
      <c r="H187" s="1443">
        <f t="shared" si="62"/>
        <v>0</v>
      </c>
      <c r="I187" s="1223">
        <f t="shared" si="58"/>
        <v>0</v>
      </c>
      <c r="J187" s="3015"/>
      <c r="K187" s="3016"/>
      <c r="L187" s="3024"/>
      <c r="M187" s="3025"/>
      <c r="N187" s="3026"/>
      <c r="O187" s="2030"/>
      <c r="P187" s="1387"/>
      <c r="Q187" s="1387"/>
      <c r="R187" s="1388"/>
      <c r="S187" s="1229">
        <f t="shared" si="59"/>
        <v>0</v>
      </c>
      <c r="T187" s="1229" t="str">
        <f t="shared" si="60"/>
        <v/>
      </c>
      <c r="U187" s="1229">
        <f t="shared" si="57"/>
        <v>0</v>
      </c>
      <c r="V187" s="1229">
        <f t="shared" si="63"/>
        <v>0</v>
      </c>
      <c r="W187" s="1229">
        <f t="shared" si="64"/>
        <v>0</v>
      </c>
      <c r="X187" s="1230"/>
      <c r="Y187" s="1230"/>
      <c r="Z187" s="1230"/>
      <c r="AA187" s="1230"/>
    </row>
    <row r="188" spans="2:27" s="1231" customFormat="1" x14ac:dyDescent="0.2">
      <c r="B188" s="1385" t="s">
        <v>845</v>
      </c>
      <c r="C188" s="2988"/>
      <c r="D188" s="2989"/>
      <c r="E188" s="2990"/>
      <c r="F188" s="1386"/>
      <c r="G188" s="1322">
        <f t="shared" si="61"/>
        <v>0</v>
      </c>
      <c r="H188" s="1443">
        <f t="shared" si="62"/>
        <v>0</v>
      </c>
      <c r="I188" s="1223">
        <f t="shared" si="58"/>
        <v>0</v>
      </c>
      <c r="J188" s="3015"/>
      <c r="K188" s="3016"/>
      <c r="L188" s="3024"/>
      <c r="M188" s="3025"/>
      <c r="N188" s="3026"/>
      <c r="O188" s="2030"/>
      <c r="P188" s="1387"/>
      <c r="Q188" s="1387"/>
      <c r="R188" s="1388"/>
      <c r="S188" s="1229">
        <f t="shared" si="59"/>
        <v>0</v>
      </c>
      <c r="T188" s="1229" t="str">
        <f t="shared" si="60"/>
        <v/>
      </c>
      <c r="U188" s="1229">
        <f t="shared" si="57"/>
        <v>0</v>
      </c>
      <c r="V188" s="1229">
        <f t="shared" si="63"/>
        <v>0</v>
      </c>
      <c r="W188" s="1229">
        <f t="shared" si="64"/>
        <v>0</v>
      </c>
      <c r="X188" s="1230"/>
      <c r="Y188" s="1230"/>
      <c r="Z188" s="1230"/>
      <c r="AA188" s="1230"/>
    </row>
    <row r="189" spans="2:27" s="1231" customFormat="1" x14ac:dyDescent="0.2">
      <c r="B189" s="1385" t="s">
        <v>846</v>
      </c>
      <c r="C189" s="2988"/>
      <c r="D189" s="2989"/>
      <c r="E189" s="2990"/>
      <c r="F189" s="1386"/>
      <c r="G189" s="1322">
        <f t="shared" si="61"/>
        <v>0</v>
      </c>
      <c r="H189" s="1443">
        <f t="shared" si="62"/>
        <v>0</v>
      </c>
      <c r="I189" s="1223">
        <f t="shared" si="58"/>
        <v>0</v>
      </c>
      <c r="J189" s="3015"/>
      <c r="K189" s="3016"/>
      <c r="L189" s="3024"/>
      <c r="M189" s="3025"/>
      <c r="N189" s="3026"/>
      <c r="O189" s="2030"/>
      <c r="P189" s="1387"/>
      <c r="Q189" s="1387"/>
      <c r="R189" s="1388"/>
      <c r="S189" s="1229">
        <f t="shared" si="59"/>
        <v>0</v>
      </c>
      <c r="T189" s="1229" t="str">
        <f t="shared" si="60"/>
        <v/>
      </c>
      <c r="U189" s="1229">
        <f t="shared" si="57"/>
        <v>0</v>
      </c>
      <c r="V189" s="1229">
        <f t="shared" si="63"/>
        <v>0</v>
      </c>
      <c r="W189" s="1229">
        <f t="shared" si="64"/>
        <v>0</v>
      </c>
      <c r="X189" s="1230"/>
      <c r="Y189" s="1230"/>
      <c r="Z189" s="1230"/>
      <c r="AA189" s="1230"/>
    </row>
    <row r="190" spans="2:27" s="1231" customFormat="1" x14ac:dyDescent="0.2">
      <c r="B190" s="1385" t="s">
        <v>847</v>
      </c>
      <c r="C190" s="2988"/>
      <c r="D190" s="2989"/>
      <c r="E190" s="2990"/>
      <c r="F190" s="1386"/>
      <c r="G190" s="1322">
        <f t="shared" si="61"/>
        <v>0</v>
      </c>
      <c r="H190" s="1443">
        <f t="shared" si="62"/>
        <v>0</v>
      </c>
      <c r="I190" s="1223">
        <f t="shared" si="58"/>
        <v>0</v>
      </c>
      <c r="J190" s="3015"/>
      <c r="K190" s="3016"/>
      <c r="L190" s="3024"/>
      <c r="M190" s="3025"/>
      <c r="N190" s="3026"/>
      <c r="O190" s="2030"/>
      <c r="P190" s="1387"/>
      <c r="Q190" s="1387"/>
      <c r="R190" s="1388"/>
      <c r="S190" s="1229">
        <f t="shared" si="59"/>
        <v>0</v>
      </c>
      <c r="T190" s="1229" t="str">
        <f t="shared" si="60"/>
        <v/>
      </c>
      <c r="U190" s="1229">
        <f t="shared" si="57"/>
        <v>0</v>
      </c>
      <c r="V190" s="1229">
        <f t="shared" si="63"/>
        <v>0</v>
      </c>
      <c r="W190" s="1229">
        <f t="shared" si="64"/>
        <v>0</v>
      </c>
      <c r="X190" s="1230"/>
      <c r="Y190" s="1230"/>
      <c r="Z190" s="1230"/>
      <c r="AA190" s="1230"/>
    </row>
    <row r="191" spans="2:27" s="1231" customFormat="1" x14ac:dyDescent="0.2">
      <c r="B191" s="1385" t="s">
        <v>848</v>
      </c>
      <c r="C191" s="2988"/>
      <c r="D191" s="2989"/>
      <c r="E191" s="2990"/>
      <c r="F191" s="1386"/>
      <c r="G191" s="1322">
        <f t="shared" si="61"/>
        <v>0</v>
      </c>
      <c r="H191" s="1443">
        <f t="shared" si="62"/>
        <v>0</v>
      </c>
      <c r="I191" s="1223">
        <f t="shared" si="58"/>
        <v>0</v>
      </c>
      <c r="J191" s="3015"/>
      <c r="K191" s="3016"/>
      <c r="L191" s="3024"/>
      <c r="M191" s="3025"/>
      <c r="N191" s="3026"/>
      <c r="O191" s="2030"/>
      <c r="P191" s="1387"/>
      <c r="Q191" s="1387"/>
      <c r="R191" s="1388"/>
      <c r="S191" s="1229">
        <f t="shared" si="59"/>
        <v>0</v>
      </c>
      <c r="T191" s="1229" t="str">
        <f t="shared" si="60"/>
        <v/>
      </c>
      <c r="U191" s="1229">
        <f t="shared" si="57"/>
        <v>0</v>
      </c>
      <c r="V191" s="1229">
        <f t="shared" si="63"/>
        <v>0</v>
      </c>
      <c r="W191" s="1229">
        <f t="shared" si="64"/>
        <v>0</v>
      </c>
      <c r="X191" s="1230"/>
      <c r="Y191" s="1230"/>
      <c r="Z191" s="1230"/>
      <c r="AA191" s="1230"/>
    </row>
    <row r="192" spans="2:27" s="1217" customFormat="1" x14ac:dyDescent="0.2">
      <c r="B192" s="1385" t="s">
        <v>849</v>
      </c>
      <c r="C192" s="3040"/>
      <c r="D192" s="3058"/>
      <c r="E192" s="3041"/>
      <c r="F192" s="1389"/>
      <c r="G192" s="1322">
        <f t="shared" si="61"/>
        <v>0</v>
      </c>
      <c r="H192" s="1443">
        <f t="shared" si="62"/>
        <v>0</v>
      </c>
      <c r="I192" s="1390">
        <f t="shared" si="58"/>
        <v>0</v>
      </c>
      <c r="J192" s="3059"/>
      <c r="K192" s="3060"/>
      <c r="L192" s="3024"/>
      <c r="M192" s="3025"/>
      <c r="N192" s="3026"/>
      <c r="O192" s="2031"/>
      <c r="P192" s="1391"/>
      <c r="Q192" s="1391"/>
      <c r="R192" s="1392"/>
      <c r="S192" s="1229">
        <f t="shared" si="59"/>
        <v>0</v>
      </c>
      <c r="T192" s="1229" t="str">
        <f t="shared" si="60"/>
        <v/>
      </c>
      <c r="U192" s="1229">
        <f t="shared" si="57"/>
        <v>0</v>
      </c>
      <c r="V192" s="1229">
        <f t="shared" si="63"/>
        <v>0</v>
      </c>
      <c r="W192" s="1229">
        <f t="shared" si="64"/>
        <v>0</v>
      </c>
      <c r="X192" s="1216"/>
      <c r="Y192" s="1216"/>
      <c r="Z192" s="1216"/>
      <c r="AA192" s="1216"/>
    </row>
    <row r="193" spans="2:27" s="1217" customFormat="1" x14ac:dyDescent="0.2">
      <c r="B193" s="1385" t="s">
        <v>850</v>
      </c>
      <c r="C193" s="3040"/>
      <c r="D193" s="3058"/>
      <c r="E193" s="3041"/>
      <c r="F193" s="1389"/>
      <c r="G193" s="1322">
        <f t="shared" si="61"/>
        <v>0</v>
      </c>
      <c r="H193" s="1443">
        <f t="shared" si="62"/>
        <v>0</v>
      </c>
      <c r="I193" s="1390">
        <f t="shared" si="58"/>
        <v>0</v>
      </c>
      <c r="J193" s="3059"/>
      <c r="K193" s="3060"/>
      <c r="L193" s="3024"/>
      <c r="M193" s="3025"/>
      <c r="N193" s="3026"/>
      <c r="O193" s="2031"/>
      <c r="P193" s="1391"/>
      <c r="Q193" s="1391"/>
      <c r="R193" s="1392"/>
      <c r="S193" s="1229">
        <f t="shared" si="59"/>
        <v>0</v>
      </c>
      <c r="T193" s="1229" t="str">
        <f t="shared" si="60"/>
        <v/>
      </c>
      <c r="U193" s="1229">
        <f t="shared" si="57"/>
        <v>0</v>
      </c>
      <c r="V193" s="1229">
        <f t="shared" si="63"/>
        <v>0</v>
      </c>
      <c r="W193" s="1229">
        <f t="shared" si="64"/>
        <v>0</v>
      </c>
      <c r="X193" s="1216"/>
      <c r="Y193" s="1216"/>
      <c r="Z193" s="1216"/>
      <c r="AA193" s="1216"/>
    </row>
    <row r="194" spans="2:27" s="1217" customFormat="1" x14ac:dyDescent="0.2">
      <c r="B194" s="1385" t="s">
        <v>851</v>
      </c>
      <c r="C194" s="3040"/>
      <c r="D194" s="3058"/>
      <c r="E194" s="3041"/>
      <c r="F194" s="1389"/>
      <c r="G194" s="1322">
        <f t="shared" si="61"/>
        <v>0</v>
      </c>
      <c r="H194" s="1443">
        <f t="shared" si="62"/>
        <v>0</v>
      </c>
      <c r="I194" s="1390">
        <f t="shared" si="58"/>
        <v>0</v>
      </c>
      <c r="J194" s="3059"/>
      <c r="K194" s="3060"/>
      <c r="L194" s="3024"/>
      <c r="M194" s="3025"/>
      <c r="N194" s="3026"/>
      <c r="O194" s="2031"/>
      <c r="P194" s="1391"/>
      <c r="Q194" s="1391"/>
      <c r="R194" s="1392"/>
      <c r="S194" s="1229">
        <f t="shared" si="59"/>
        <v>0</v>
      </c>
      <c r="T194" s="1229" t="str">
        <f t="shared" si="60"/>
        <v/>
      </c>
      <c r="U194" s="1229">
        <f t="shared" si="57"/>
        <v>0</v>
      </c>
      <c r="V194" s="1229">
        <f t="shared" si="63"/>
        <v>0</v>
      </c>
      <c r="W194" s="1229">
        <f t="shared" si="64"/>
        <v>0</v>
      </c>
      <c r="X194" s="1216"/>
      <c r="Y194" s="1216"/>
      <c r="Z194" s="1216"/>
      <c r="AA194" s="1216"/>
    </row>
    <row r="195" spans="2:27" s="1217" customFormat="1" x14ac:dyDescent="0.2">
      <c r="B195" s="1385" t="s">
        <v>852</v>
      </c>
      <c r="C195" s="3040"/>
      <c r="D195" s="3058"/>
      <c r="E195" s="3041"/>
      <c r="F195" s="1389"/>
      <c r="G195" s="1322">
        <f t="shared" si="61"/>
        <v>0</v>
      </c>
      <c r="H195" s="1443">
        <f t="shared" si="62"/>
        <v>0</v>
      </c>
      <c r="I195" s="1390">
        <f t="shared" si="58"/>
        <v>0</v>
      </c>
      <c r="J195" s="3059"/>
      <c r="K195" s="3060"/>
      <c r="L195" s="3024"/>
      <c r="M195" s="3025"/>
      <c r="N195" s="3026"/>
      <c r="O195" s="2031"/>
      <c r="P195" s="1391"/>
      <c r="Q195" s="1391"/>
      <c r="R195" s="1392"/>
      <c r="S195" s="1229">
        <f t="shared" si="59"/>
        <v>0</v>
      </c>
      <c r="T195" s="1229" t="str">
        <f t="shared" si="60"/>
        <v/>
      </c>
      <c r="U195" s="1229">
        <f t="shared" si="57"/>
        <v>0</v>
      </c>
      <c r="V195" s="1229">
        <f t="shared" si="63"/>
        <v>0</v>
      </c>
      <c r="W195" s="1229">
        <f t="shared" si="64"/>
        <v>0</v>
      </c>
      <c r="X195" s="1216"/>
      <c r="Y195" s="1216"/>
      <c r="Z195" s="1216"/>
      <c r="AA195" s="1216"/>
    </row>
    <row r="196" spans="2:27" s="1217" customFormat="1" x14ac:dyDescent="0.2">
      <c r="B196" s="1385" t="s">
        <v>853</v>
      </c>
      <c r="C196" s="3040"/>
      <c r="D196" s="3058"/>
      <c r="E196" s="3041"/>
      <c r="F196" s="1389"/>
      <c r="G196" s="1322">
        <f t="shared" si="61"/>
        <v>0</v>
      </c>
      <c r="H196" s="1443">
        <f t="shared" si="62"/>
        <v>0</v>
      </c>
      <c r="I196" s="1390">
        <f t="shared" si="58"/>
        <v>0</v>
      </c>
      <c r="J196" s="3059"/>
      <c r="K196" s="3060"/>
      <c r="L196" s="3024"/>
      <c r="M196" s="3025"/>
      <c r="N196" s="3026"/>
      <c r="O196" s="2031"/>
      <c r="P196" s="1391"/>
      <c r="Q196" s="1391"/>
      <c r="R196" s="1392"/>
      <c r="S196" s="1229">
        <f t="shared" si="59"/>
        <v>0</v>
      </c>
      <c r="T196" s="1229" t="str">
        <f t="shared" si="60"/>
        <v/>
      </c>
      <c r="U196" s="1229">
        <f t="shared" si="57"/>
        <v>0</v>
      </c>
      <c r="V196" s="1229">
        <f t="shared" si="63"/>
        <v>0</v>
      </c>
      <c r="W196" s="1229">
        <f t="shared" si="64"/>
        <v>0</v>
      </c>
      <c r="X196" s="1216"/>
      <c r="Y196" s="1216"/>
      <c r="Z196" s="1216"/>
      <c r="AA196" s="1216"/>
    </row>
    <row r="197" spans="2:27" s="1217" customFormat="1" x14ac:dyDescent="0.2">
      <c r="B197" s="1385" t="s">
        <v>854</v>
      </c>
      <c r="C197" s="3040"/>
      <c r="D197" s="3058"/>
      <c r="E197" s="3041"/>
      <c r="F197" s="1389"/>
      <c r="G197" s="1322">
        <f t="shared" si="61"/>
        <v>0</v>
      </c>
      <c r="H197" s="1443">
        <f t="shared" si="62"/>
        <v>0</v>
      </c>
      <c r="I197" s="1390">
        <f t="shared" si="58"/>
        <v>0</v>
      </c>
      <c r="J197" s="3059"/>
      <c r="K197" s="3060"/>
      <c r="L197" s="3024"/>
      <c r="M197" s="3025"/>
      <c r="N197" s="3026"/>
      <c r="O197" s="2031"/>
      <c r="P197" s="1391"/>
      <c r="Q197" s="1391"/>
      <c r="R197" s="1392"/>
      <c r="S197" s="1229">
        <f t="shared" si="59"/>
        <v>0</v>
      </c>
      <c r="T197" s="1229" t="str">
        <f t="shared" si="60"/>
        <v/>
      </c>
      <c r="U197" s="1229">
        <f t="shared" si="57"/>
        <v>0</v>
      </c>
      <c r="V197" s="1229">
        <f t="shared" si="63"/>
        <v>0</v>
      </c>
      <c r="W197" s="1229">
        <f t="shared" si="64"/>
        <v>0</v>
      </c>
      <c r="X197" s="1216"/>
      <c r="Y197" s="1216"/>
      <c r="Z197" s="1216"/>
      <c r="AA197" s="1216"/>
    </row>
    <row r="198" spans="2:27" s="1217" customFormat="1" x14ac:dyDescent="0.2">
      <c r="B198" s="1385" t="s">
        <v>855</v>
      </c>
      <c r="C198" s="3040"/>
      <c r="D198" s="3058"/>
      <c r="E198" s="3041"/>
      <c r="F198" s="1389"/>
      <c r="G198" s="1322">
        <f t="shared" si="61"/>
        <v>0</v>
      </c>
      <c r="H198" s="1443">
        <f t="shared" si="62"/>
        <v>0</v>
      </c>
      <c r="I198" s="1390">
        <f t="shared" si="58"/>
        <v>0</v>
      </c>
      <c r="J198" s="3059"/>
      <c r="K198" s="3060"/>
      <c r="L198" s="3024"/>
      <c r="M198" s="3025"/>
      <c r="N198" s="3026"/>
      <c r="O198" s="2031"/>
      <c r="P198" s="1391"/>
      <c r="Q198" s="1391"/>
      <c r="R198" s="1392"/>
      <c r="S198" s="1229">
        <f t="shared" si="59"/>
        <v>0</v>
      </c>
      <c r="T198" s="1229" t="str">
        <f t="shared" si="60"/>
        <v/>
      </c>
      <c r="U198" s="1229">
        <f t="shared" si="57"/>
        <v>0</v>
      </c>
      <c r="V198" s="1229">
        <f t="shared" si="63"/>
        <v>0</v>
      </c>
      <c r="W198" s="1229">
        <f t="shared" si="64"/>
        <v>0</v>
      </c>
      <c r="X198" s="1216"/>
      <c r="Y198" s="1216"/>
      <c r="Z198" s="1216"/>
      <c r="AA198" s="1216"/>
    </row>
    <row r="199" spans="2:27" s="1217" customFormat="1" x14ac:dyDescent="0.2">
      <c r="B199" s="1385" t="s">
        <v>856</v>
      </c>
      <c r="C199" s="3040"/>
      <c r="D199" s="3058"/>
      <c r="E199" s="3041"/>
      <c r="F199" s="1389"/>
      <c r="G199" s="1322">
        <f t="shared" si="61"/>
        <v>0</v>
      </c>
      <c r="H199" s="1443">
        <f t="shared" si="62"/>
        <v>0</v>
      </c>
      <c r="I199" s="1390">
        <f t="shared" si="58"/>
        <v>0</v>
      </c>
      <c r="J199" s="3059"/>
      <c r="K199" s="3060"/>
      <c r="L199" s="3024"/>
      <c r="M199" s="3025"/>
      <c r="N199" s="3026"/>
      <c r="O199" s="2031"/>
      <c r="P199" s="1391"/>
      <c r="Q199" s="1391"/>
      <c r="R199" s="1392"/>
      <c r="S199" s="1229">
        <f t="shared" si="59"/>
        <v>0</v>
      </c>
      <c r="T199" s="1229" t="str">
        <f t="shared" si="60"/>
        <v/>
      </c>
      <c r="U199" s="1229">
        <f t="shared" si="57"/>
        <v>0</v>
      </c>
      <c r="V199" s="1229">
        <f t="shared" si="63"/>
        <v>0</v>
      </c>
      <c r="W199" s="1229">
        <f t="shared" si="64"/>
        <v>0</v>
      </c>
      <c r="X199" s="1216"/>
      <c r="Y199" s="1216"/>
      <c r="Z199" s="1216"/>
      <c r="AA199" s="1216"/>
    </row>
    <row r="200" spans="2:27" s="1217" customFormat="1" x14ac:dyDescent="0.2">
      <c r="B200" s="1385" t="s">
        <v>857</v>
      </c>
      <c r="C200" s="3040"/>
      <c r="D200" s="3058"/>
      <c r="E200" s="3041"/>
      <c r="F200" s="1389"/>
      <c r="G200" s="1322">
        <f t="shared" si="61"/>
        <v>0</v>
      </c>
      <c r="H200" s="1443">
        <f t="shared" si="62"/>
        <v>0</v>
      </c>
      <c r="I200" s="1390">
        <f t="shared" si="58"/>
        <v>0</v>
      </c>
      <c r="J200" s="3059"/>
      <c r="K200" s="3060"/>
      <c r="L200" s="3024"/>
      <c r="M200" s="3025"/>
      <c r="N200" s="3026"/>
      <c r="O200" s="2031"/>
      <c r="P200" s="1391"/>
      <c r="Q200" s="1391"/>
      <c r="R200" s="1392"/>
      <c r="S200" s="1229">
        <f t="shared" si="59"/>
        <v>0</v>
      </c>
      <c r="T200" s="1229" t="str">
        <f t="shared" si="60"/>
        <v/>
      </c>
      <c r="U200" s="1229">
        <f t="shared" si="57"/>
        <v>0</v>
      </c>
      <c r="V200" s="1229">
        <f t="shared" si="63"/>
        <v>0</v>
      </c>
      <c r="W200" s="1229">
        <f t="shared" si="64"/>
        <v>0</v>
      </c>
      <c r="X200" s="1216"/>
      <c r="Y200" s="1216"/>
      <c r="Z200" s="1216"/>
      <c r="AA200" s="1216"/>
    </row>
    <row r="201" spans="2:27" s="1217" customFormat="1" x14ac:dyDescent="0.2">
      <c r="B201" s="1385" t="s">
        <v>858</v>
      </c>
      <c r="C201" s="3040"/>
      <c r="D201" s="3058"/>
      <c r="E201" s="3041"/>
      <c r="F201" s="1389"/>
      <c r="G201" s="1322">
        <f t="shared" si="61"/>
        <v>0</v>
      </c>
      <c r="H201" s="1443">
        <f t="shared" si="62"/>
        <v>0</v>
      </c>
      <c r="I201" s="1390">
        <f t="shared" si="58"/>
        <v>0</v>
      </c>
      <c r="J201" s="3059"/>
      <c r="K201" s="3060"/>
      <c r="L201" s="3024"/>
      <c r="M201" s="3025"/>
      <c r="N201" s="3026"/>
      <c r="O201" s="2031"/>
      <c r="P201" s="1391"/>
      <c r="Q201" s="1391"/>
      <c r="R201" s="1392"/>
      <c r="S201" s="1229">
        <f t="shared" si="59"/>
        <v>0</v>
      </c>
      <c r="T201" s="1229" t="str">
        <f t="shared" si="60"/>
        <v/>
      </c>
      <c r="U201" s="1229">
        <f t="shared" si="57"/>
        <v>0</v>
      </c>
      <c r="V201" s="1229">
        <f t="shared" si="63"/>
        <v>0</v>
      </c>
      <c r="W201" s="1229">
        <f t="shared" si="64"/>
        <v>0</v>
      </c>
      <c r="X201" s="1216"/>
      <c r="Y201" s="1216"/>
      <c r="Z201" s="1216"/>
      <c r="AA201" s="1216"/>
    </row>
    <row r="202" spans="2:27" s="1217" customFormat="1" ht="21" customHeight="1" x14ac:dyDescent="0.2">
      <c r="B202" s="1393"/>
      <c r="C202" s="1394"/>
      <c r="D202" s="1394"/>
      <c r="E202" s="1395"/>
      <c r="F202" s="1396"/>
      <c r="G202" s="1397" t="s">
        <v>879</v>
      </c>
      <c r="H202" s="1398">
        <f>SUM(H182:H201)</f>
        <v>0</v>
      </c>
      <c r="I202" s="1399">
        <f>SUM(I182:I201)</f>
        <v>0</v>
      </c>
      <c r="J202" s="1400"/>
      <c r="K202" s="1401"/>
      <c r="L202" s="1402"/>
      <c r="M202" s="1652">
        <f>SUM(V182:V201)</f>
        <v>0</v>
      </c>
      <c r="N202" s="1444"/>
      <c r="O202" s="1405">
        <f>COUNTIF(S182:S201,"3")</f>
        <v>0</v>
      </c>
      <c r="P202" s="1405"/>
      <c r="Q202" s="1405"/>
      <c r="R202" s="1406"/>
      <c r="S202" s="1229"/>
      <c r="T202" s="1229"/>
      <c r="U202" s="1229"/>
      <c r="V202" s="1229"/>
      <c r="W202" s="1197">
        <f>SUM(W182:W201)</f>
        <v>0</v>
      </c>
      <c r="X202" s="1216"/>
      <c r="Y202" s="1216"/>
      <c r="Z202" s="1216"/>
      <c r="AA202" s="1216"/>
    </row>
    <row r="203" spans="2:27" s="1304" customFormat="1" ht="12.75" customHeight="1" x14ac:dyDescent="0.2">
      <c r="B203" s="1431"/>
      <c r="C203" s="1298"/>
      <c r="D203" s="1298"/>
      <c r="E203" s="1298"/>
      <c r="F203" s="1298"/>
      <c r="G203" s="1453"/>
      <c r="H203" s="1433"/>
      <c r="I203" s="1433"/>
      <c r="J203" s="1433"/>
      <c r="K203" s="1433"/>
      <c r="L203" s="1433"/>
      <c r="M203" s="1298"/>
      <c r="N203" s="1298"/>
      <c r="O203" s="1412"/>
      <c r="P203" s="1298"/>
      <c r="Q203" s="1298"/>
      <c r="R203" s="1298"/>
      <c r="S203" s="1229"/>
      <c r="T203" s="1229"/>
      <c r="U203" s="1229"/>
      <c r="V203" s="1229"/>
      <c r="W203" s="1302"/>
      <c r="X203" s="1302"/>
      <c r="Y203" s="1302"/>
      <c r="Z203" s="1302"/>
      <c r="AA203" s="1302"/>
    </row>
    <row r="204" spans="2:27" s="1187" customFormat="1" ht="21" customHeight="1" x14ac:dyDescent="0.2">
      <c r="B204" s="1436" t="s">
        <v>880</v>
      </c>
      <c r="C204" s="1437"/>
      <c r="D204" s="1449"/>
      <c r="E204" s="1450"/>
      <c r="F204" s="1450"/>
      <c r="G204" s="1450"/>
      <c r="H204" s="1451"/>
      <c r="I204" s="1452"/>
      <c r="J204" s="1454"/>
      <c r="K204" s="1455"/>
      <c r="L204" s="1455"/>
      <c r="M204" s="1455"/>
      <c r="N204" s="1455"/>
      <c r="O204" s="1456"/>
      <c r="P204" s="1184"/>
      <c r="Q204" s="1184"/>
      <c r="R204" s="1184"/>
      <c r="S204" s="1229"/>
      <c r="T204" s="1229"/>
      <c r="U204" s="1229"/>
      <c r="V204" s="1229"/>
      <c r="W204" s="1185"/>
      <c r="X204" s="1185"/>
      <c r="Y204" s="1185"/>
      <c r="Z204" s="1185"/>
      <c r="AA204" s="1185"/>
    </row>
    <row r="205" spans="2:27" s="1217" customFormat="1" ht="12.75" customHeight="1" x14ac:dyDescent="0.2">
      <c r="B205" s="1353"/>
      <c r="C205" s="3061" t="s">
        <v>873</v>
      </c>
      <c r="D205" s="3062"/>
      <c r="E205" s="3062"/>
      <c r="F205" s="3063"/>
      <c r="G205" s="1355" t="s">
        <v>821</v>
      </c>
      <c r="H205" s="1191" t="s">
        <v>639</v>
      </c>
      <c r="I205" s="1192" t="s">
        <v>639</v>
      </c>
      <c r="J205" s="3084" t="s">
        <v>823</v>
      </c>
      <c r="K205" s="3001"/>
      <c r="L205" s="3001"/>
      <c r="M205" s="3001"/>
      <c r="N205" s="3001"/>
      <c r="O205" s="1653" t="s">
        <v>875</v>
      </c>
      <c r="P205" s="3085"/>
      <c r="Q205" s="3085"/>
      <c r="R205" s="3085"/>
      <c r="S205" s="1229"/>
      <c r="T205" s="1229"/>
      <c r="U205" s="1229"/>
      <c r="V205" s="1229"/>
      <c r="W205" s="1216"/>
      <c r="X205" s="1216"/>
      <c r="Y205" s="1216"/>
      <c r="Z205" s="1216"/>
      <c r="AA205" s="1216"/>
    </row>
    <row r="206" spans="2:27" s="1364" customFormat="1" x14ac:dyDescent="0.2">
      <c r="B206" s="1356"/>
      <c r="C206" s="3064"/>
      <c r="D206" s="3065"/>
      <c r="E206" s="3065"/>
      <c r="F206" s="3066"/>
      <c r="G206" s="1315"/>
      <c r="H206" s="1315" t="s">
        <v>641</v>
      </c>
      <c r="I206" s="1316" t="s">
        <v>510</v>
      </c>
      <c r="J206" s="3083" t="s">
        <v>828</v>
      </c>
      <c r="K206" s="3028"/>
      <c r="L206" s="3028"/>
      <c r="M206" s="3028"/>
      <c r="N206" s="3028"/>
      <c r="O206" s="1457" t="s">
        <v>1245</v>
      </c>
      <c r="P206" s="1458"/>
      <c r="Q206" s="1458"/>
      <c r="R206" s="1459"/>
      <c r="S206" s="1229"/>
      <c r="T206" s="1229"/>
      <c r="U206" s="1229"/>
      <c r="V206" s="1229"/>
      <c r="W206" s="1362"/>
      <c r="X206" s="1362"/>
      <c r="Y206" s="1362"/>
      <c r="Z206" s="1362"/>
      <c r="AA206" s="1362"/>
    </row>
    <row r="207" spans="2:27" s="1209" customFormat="1" x14ac:dyDescent="0.2">
      <c r="B207" s="1199"/>
      <c r="C207" s="3067"/>
      <c r="D207" s="3068"/>
      <c r="E207" s="3068"/>
      <c r="F207" s="3069"/>
      <c r="G207" s="1201"/>
      <c r="H207" s="1368"/>
      <c r="I207" s="1321"/>
      <c r="J207" s="1369"/>
      <c r="K207" s="1460"/>
      <c r="L207" s="1460"/>
      <c r="M207" s="3030"/>
      <c r="N207" s="3030"/>
      <c r="O207" s="1321"/>
      <c r="P207" s="1195"/>
      <c r="Q207" s="1195"/>
      <c r="R207" s="1461"/>
      <c r="S207" s="1229"/>
      <c r="T207" s="1229"/>
      <c r="U207" s="1229"/>
      <c r="V207" s="1229"/>
      <c r="W207" s="1207"/>
      <c r="X207" s="1207"/>
      <c r="Y207" s="1207"/>
      <c r="Z207" s="1207"/>
      <c r="AA207" s="1207"/>
    </row>
    <row r="208" spans="2:27" s="1384" customFormat="1" ht="12.75" customHeight="1" x14ac:dyDescent="0.2">
      <c r="B208" s="1374" t="s">
        <v>646</v>
      </c>
      <c r="C208" s="3055" t="s">
        <v>835</v>
      </c>
      <c r="D208" s="3056"/>
      <c r="E208" s="3056"/>
      <c r="F208" s="3057"/>
      <c r="G208" s="1376">
        <v>10</v>
      </c>
      <c r="H208" s="1377">
        <f>IF(C208&lt;&gt;"",G208,0)</f>
        <v>10</v>
      </c>
      <c r="I208" s="1378">
        <f t="shared" ref="I208:I228" si="65">H208/15</f>
        <v>0.66666666666666663</v>
      </c>
      <c r="J208" s="3073" t="s">
        <v>836</v>
      </c>
      <c r="K208" s="3033"/>
      <c r="L208" s="3033"/>
      <c r="M208" s="3033"/>
      <c r="N208" s="3033"/>
      <c r="O208" s="2034">
        <v>240817</v>
      </c>
      <c r="P208" s="1462"/>
      <c r="Q208" s="1462"/>
      <c r="R208" s="1462"/>
      <c r="S208" s="1229"/>
      <c r="T208" s="1229"/>
      <c r="U208" s="1229"/>
      <c r="V208" s="1229"/>
      <c r="W208" s="1383"/>
      <c r="X208" s="1383"/>
      <c r="Y208" s="1382"/>
      <c r="Z208" s="1382"/>
      <c r="AA208" s="1382"/>
    </row>
    <row r="209" spans="2:27" s="1231" customFormat="1" x14ac:dyDescent="0.2">
      <c r="B209" s="1385" t="s">
        <v>839</v>
      </c>
      <c r="C209" s="2988"/>
      <c r="D209" s="2989"/>
      <c r="E209" s="2989"/>
      <c r="F209" s="2990"/>
      <c r="G209" s="1322">
        <f>IF(C209="",0,10)</f>
        <v>0</v>
      </c>
      <c r="H209" s="1443">
        <f>IF(C209&lt;&gt;"",G209,0)</f>
        <v>0</v>
      </c>
      <c r="I209" s="1223">
        <f t="shared" si="65"/>
        <v>0</v>
      </c>
      <c r="J209" s="3072"/>
      <c r="K209" s="3025"/>
      <c r="L209" s="3025"/>
      <c r="M209" s="3025"/>
      <c r="N209" s="3025"/>
      <c r="O209" s="2035"/>
      <c r="P209" s="1463"/>
      <c r="Q209" s="1463"/>
      <c r="R209" s="1463"/>
      <c r="S209" s="1229"/>
      <c r="T209" s="1229"/>
      <c r="U209" s="1229"/>
      <c r="V209" s="1229"/>
      <c r="W209" s="1229"/>
      <c r="X209" s="1230"/>
      <c r="Y209" s="1230"/>
      <c r="Z209" s="1230"/>
      <c r="AA209" s="1230"/>
    </row>
    <row r="210" spans="2:27" s="1231" customFormat="1" x14ac:dyDescent="0.2">
      <c r="B210" s="1385" t="s">
        <v>840</v>
      </c>
      <c r="C210" s="2988"/>
      <c r="D210" s="2989"/>
      <c r="E210" s="2989"/>
      <c r="F210" s="2990"/>
      <c r="G210" s="1322">
        <f t="shared" ref="G210:G228" si="66">IF(C210="",0,10)</f>
        <v>0</v>
      </c>
      <c r="H210" s="1443">
        <f t="shared" ref="H210:H228" si="67">IF(C210&lt;&gt;"",G210,0)</f>
        <v>0</v>
      </c>
      <c r="I210" s="1223">
        <f t="shared" si="65"/>
        <v>0</v>
      </c>
      <c r="J210" s="3072"/>
      <c r="K210" s="3025"/>
      <c r="L210" s="3025"/>
      <c r="M210" s="3025"/>
      <c r="N210" s="3025"/>
      <c r="O210" s="2035"/>
      <c r="P210" s="1463"/>
      <c r="Q210" s="1463"/>
      <c r="R210" s="1463"/>
      <c r="S210" s="1229"/>
      <c r="T210" s="1229"/>
      <c r="U210" s="1229"/>
      <c r="V210" s="1229"/>
      <c r="W210" s="1229"/>
      <c r="X210" s="1230"/>
      <c r="Y210" s="1230"/>
      <c r="Z210" s="1230"/>
      <c r="AA210" s="1230"/>
    </row>
    <row r="211" spans="2:27" s="1231" customFormat="1" x14ac:dyDescent="0.2">
      <c r="B211" s="1385" t="s">
        <v>841</v>
      </c>
      <c r="C211" s="2988"/>
      <c r="D211" s="2989"/>
      <c r="E211" s="2989"/>
      <c r="F211" s="2990"/>
      <c r="G211" s="1322">
        <f t="shared" si="66"/>
        <v>0</v>
      </c>
      <c r="H211" s="1443">
        <f t="shared" si="67"/>
        <v>0</v>
      </c>
      <c r="I211" s="1223">
        <f t="shared" si="65"/>
        <v>0</v>
      </c>
      <c r="J211" s="3072"/>
      <c r="K211" s="3025"/>
      <c r="L211" s="3025"/>
      <c r="M211" s="3025"/>
      <c r="N211" s="3025"/>
      <c r="O211" s="2035"/>
      <c r="P211" s="1463"/>
      <c r="Q211" s="1463"/>
      <c r="R211" s="1463"/>
      <c r="S211" s="1229"/>
      <c r="T211" s="1229"/>
      <c r="U211" s="1229"/>
      <c r="V211" s="1229"/>
      <c r="W211" s="1229"/>
      <c r="X211" s="1230"/>
      <c r="Y211" s="1230"/>
      <c r="Z211" s="1230"/>
      <c r="AA211" s="1230"/>
    </row>
    <row r="212" spans="2:27" s="1231" customFormat="1" x14ac:dyDescent="0.2">
      <c r="B212" s="1385" t="s">
        <v>842</v>
      </c>
      <c r="C212" s="2988"/>
      <c r="D212" s="2989"/>
      <c r="E212" s="2989"/>
      <c r="F212" s="2990"/>
      <c r="G212" s="1322">
        <f t="shared" si="66"/>
        <v>0</v>
      </c>
      <c r="H212" s="1443">
        <f t="shared" si="67"/>
        <v>0</v>
      </c>
      <c r="I212" s="1223">
        <f t="shared" si="65"/>
        <v>0</v>
      </c>
      <c r="J212" s="3072"/>
      <c r="K212" s="3025"/>
      <c r="L212" s="3025"/>
      <c r="M212" s="3025"/>
      <c r="N212" s="3025"/>
      <c r="O212" s="2035"/>
      <c r="P212" s="1463"/>
      <c r="Q212" s="1463"/>
      <c r="R212" s="1463"/>
      <c r="S212" s="1229"/>
      <c r="T212" s="1229"/>
      <c r="U212" s="1229"/>
      <c r="V212" s="1229"/>
      <c r="W212" s="1229"/>
      <c r="X212" s="1230"/>
      <c r="Y212" s="1230"/>
      <c r="Z212" s="1230"/>
      <c r="AA212" s="1230"/>
    </row>
    <row r="213" spans="2:27" s="1231" customFormat="1" x14ac:dyDescent="0.2">
      <c r="B213" s="1385" t="s">
        <v>843</v>
      </c>
      <c r="C213" s="2988"/>
      <c r="D213" s="2989"/>
      <c r="E213" s="2989"/>
      <c r="F213" s="2990"/>
      <c r="G213" s="1322">
        <f t="shared" si="66"/>
        <v>0</v>
      </c>
      <c r="H213" s="1443">
        <f t="shared" si="67"/>
        <v>0</v>
      </c>
      <c r="I213" s="1223">
        <f t="shared" si="65"/>
        <v>0</v>
      </c>
      <c r="J213" s="3072"/>
      <c r="K213" s="3025"/>
      <c r="L213" s="3025"/>
      <c r="M213" s="3025"/>
      <c r="N213" s="3025"/>
      <c r="O213" s="2035"/>
      <c r="P213" s="1463"/>
      <c r="Q213" s="1463"/>
      <c r="R213" s="1463"/>
      <c r="S213" s="1229"/>
      <c r="T213" s="1229"/>
      <c r="U213" s="1229"/>
      <c r="V213" s="1229"/>
      <c r="W213" s="1229"/>
      <c r="X213" s="1230"/>
      <c r="Y213" s="1230"/>
      <c r="Z213" s="1230"/>
      <c r="AA213" s="1230"/>
    </row>
    <row r="214" spans="2:27" s="1231" customFormat="1" x14ac:dyDescent="0.2">
      <c r="B214" s="1385" t="s">
        <v>844</v>
      </c>
      <c r="C214" s="2988"/>
      <c r="D214" s="2989"/>
      <c r="E214" s="2989"/>
      <c r="F214" s="2990"/>
      <c r="G214" s="1322">
        <f t="shared" si="66"/>
        <v>0</v>
      </c>
      <c r="H214" s="1443">
        <f t="shared" si="67"/>
        <v>0</v>
      </c>
      <c r="I214" s="1223">
        <f t="shared" si="65"/>
        <v>0</v>
      </c>
      <c r="J214" s="3072"/>
      <c r="K214" s="3025"/>
      <c r="L214" s="3025"/>
      <c r="M214" s="3025"/>
      <c r="N214" s="3025"/>
      <c r="O214" s="2035"/>
      <c r="P214" s="1463"/>
      <c r="Q214" s="1463"/>
      <c r="R214" s="1463"/>
      <c r="S214" s="1229"/>
      <c r="T214" s="1229"/>
      <c r="U214" s="1229"/>
      <c r="V214" s="1229"/>
      <c r="W214" s="1229"/>
      <c r="X214" s="1230"/>
      <c r="Y214" s="1230"/>
      <c r="Z214" s="1230"/>
      <c r="AA214" s="1230"/>
    </row>
    <row r="215" spans="2:27" s="1231" customFormat="1" x14ac:dyDescent="0.2">
      <c r="B215" s="1385" t="s">
        <v>845</v>
      </c>
      <c r="C215" s="2988"/>
      <c r="D215" s="2989"/>
      <c r="E215" s="2989"/>
      <c r="F215" s="2990"/>
      <c r="G215" s="1322">
        <f t="shared" si="66"/>
        <v>0</v>
      </c>
      <c r="H215" s="1443">
        <f t="shared" si="67"/>
        <v>0</v>
      </c>
      <c r="I215" s="1223">
        <f t="shared" si="65"/>
        <v>0</v>
      </c>
      <c r="J215" s="3072"/>
      <c r="K215" s="3025"/>
      <c r="L215" s="3025"/>
      <c r="M215" s="3025"/>
      <c r="N215" s="3025"/>
      <c r="O215" s="2035"/>
      <c r="P215" s="1463"/>
      <c r="Q215" s="1463"/>
      <c r="R215" s="1463"/>
      <c r="S215" s="1229"/>
      <c r="T215" s="1229"/>
      <c r="U215" s="1229"/>
      <c r="V215" s="1229"/>
      <c r="W215" s="1229"/>
      <c r="X215" s="1230"/>
      <c r="Y215" s="1230"/>
      <c r="Z215" s="1230"/>
      <c r="AA215" s="1230"/>
    </row>
    <row r="216" spans="2:27" s="1231" customFormat="1" x14ac:dyDescent="0.2">
      <c r="B216" s="1385" t="s">
        <v>846</v>
      </c>
      <c r="C216" s="2988"/>
      <c r="D216" s="2989"/>
      <c r="E216" s="2989"/>
      <c r="F216" s="2990"/>
      <c r="G216" s="1322">
        <f t="shared" si="66"/>
        <v>0</v>
      </c>
      <c r="H216" s="1443">
        <f t="shared" si="67"/>
        <v>0</v>
      </c>
      <c r="I216" s="1223">
        <f t="shared" si="65"/>
        <v>0</v>
      </c>
      <c r="J216" s="3072"/>
      <c r="K216" s="3025"/>
      <c r="L216" s="3025"/>
      <c r="M216" s="3025"/>
      <c r="N216" s="3025"/>
      <c r="O216" s="2035"/>
      <c r="P216" s="1463"/>
      <c r="Q216" s="1463"/>
      <c r="R216" s="1463"/>
      <c r="S216" s="1229"/>
      <c r="T216" s="1229"/>
      <c r="U216" s="1229"/>
      <c r="V216" s="1229"/>
      <c r="W216" s="1229"/>
      <c r="X216" s="1230"/>
      <c r="Y216" s="1230"/>
      <c r="Z216" s="1230"/>
      <c r="AA216" s="1230"/>
    </row>
    <row r="217" spans="2:27" s="1231" customFormat="1" x14ac:dyDescent="0.2">
      <c r="B217" s="1385" t="s">
        <v>847</v>
      </c>
      <c r="C217" s="2988"/>
      <c r="D217" s="2989"/>
      <c r="E217" s="2989"/>
      <c r="F217" s="2990"/>
      <c r="G217" s="1322">
        <f t="shared" si="66"/>
        <v>0</v>
      </c>
      <c r="H217" s="1443">
        <f t="shared" si="67"/>
        <v>0</v>
      </c>
      <c r="I217" s="1223">
        <f t="shared" si="65"/>
        <v>0</v>
      </c>
      <c r="J217" s="3072"/>
      <c r="K217" s="3025"/>
      <c r="L217" s="3025"/>
      <c r="M217" s="3025"/>
      <c r="N217" s="3025"/>
      <c r="O217" s="2035"/>
      <c r="P217" s="1463"/>
      <c r="Q217" s="1463"/>
      <c r="R217" s="1463"/>
      <c r="S217" s="1229"/>
      <c r="T217" s="1229"/>
      <c r="U217" s="1229"/>
      <c r="V217" s="1229"/>
      <c r="W217" s="1229"/>
      <c r="X217" s="1230"/>
      <c r="Y217" s="1230"/>
      <c r="Z217" s="1230"/>
      <c r="AA217" s="1230"/>
    </row>
    <row r="218" spans="2:27" s="1231" customFormat="1" x14ac:dyDescent="0.2">
      <c r="B218" s="1385" t="s">
        <v>848</v>
      </c>
      <c r="C218" s="2988"/>
      <c r="D218" s="2989"/>
      <c r="E218" s="2989"/>
      <c r="F218" s="2990"/>
      <c r="G218" s="1322">
        <f t="shared" si="66"/>
        <v>0</v>
      </c>
      <c r="H218" s="1443">
        <f t="shared" si="67"/>
        <v>0</v>
      </c>
      <c r="I218" s="1223">
        <f t="shared" si="65"/>
        <v>0</v>
      </c>
      <c r="J218" s="3072"/>
      <c r="K218" s="3025"/>
      <c r="L218" s="3025"/>
      <c r="M218" s="3025"/>
      <c r="N218" s="3025"/>
      <c r="O218" s="2035"/>
      <c r="P218" s="1463"/>
      <c r="Q218" s="1463"/>
      <c r="R218" s="1463"/>
      <c r="S218" s="1229"/>
      <c r="T218" s="1229"/>
      <c r="U218" s="1229"/>
      <c r="V218" s="1229"/>
      <c r="W218" s="1229"/>
      <c r="X218" s="1230"/>
      <c r="Y218" s="1230"/>
      <c r="Z218" s="1230"/>
      <c r="AA218" s="1230"/>
    </row>
    <row r="219" spans="2:27" s="1217" customFormat="1" x14ac:dyDescent="0.2">
      <c r="B219" s="1385" t="s">
        <v>849</v>
      </c>
      <c r="C219" s="3040"/>
      <c r="D219" s="3058"/>
      <c r="E219" s="3058"/>
      <c r="F219" s="3041"/>
      <c r="G219" s="1322">
        <f t="shared" si="66"/>
        <v>0</v>
      </c>
      <c r="H219" s="1443">
        <f t="shared" si="67"/>
        <v>0</v>
      </c>
      <c r="I219" s="1390">
        <f t="shared" si="65"/>
        <v>0</v>
      </c>
      <c r="J219" s="3074"/>
      <c r="K219" s="3075"/>
      <c r="L219" s="3075"/>
      <c r="M219" s="3075"/>
      <c r="N219" s="3075"/>
      <c r="O219" s="2036"/>
      <c r="P219" s="1464"/>
      <c r="Q219" s="1464"/>
      <c r="R219" s="1464"/>
      <c r="S219" s="1229"/>
      <c r="T219" s="1229"/>
      <c r="U219" s="1229"/>
      <c r="V219" s="1229"/>
      <c r="W219" s="1229"/>
      <c r="X219" s="1216"/>
      <c r="Y219" s="1216"/>
      <c r="Z219" s="1216"/>
      <c r="AA219" s="1216"/>
    </row>
    <row r="220" spans="2:27" s="1217" customFormat="1" x14ac:dyDescent="0.2">
      <c r="B220" s="1385" t="s">
        <v>850</v>
      </c>
      <c r="C220" s="3040"/>
      <c r="D220" s="3058"/>
      <c r="E220" s="3058"/>
      <c r="F220" s="3041"/>
      <c r="G220" s="1322">
        <f t="shared" si="66"/>
        <v>0</v>
      </c>
      <c r="H220" s="1443">
        <f t="shared" si="67"/>
        <v>0</v>
      </c>
      <c r="I220" s="1390">
        <f t="shared" si="65"/>
        <v>0</v>
      </c>
      <c r="J220" s="3074"/>
      <c r="K220" s="3075"/>
      <c r="L220" s="3075"/>
      <c r="M220" s="3075"/>
      <c r="N220" s="3075"/>
      <c r="O220" s="2036"/>
      <c r="P220" s="1464"/>
      <c r="Q220" s="1464"/>
      <c r="R220" s="1464"/>
      <c r="S220" s="1229"/>
      <c r="T220" s="1229"/>
      <c r="U220" s="1229"/>
      <c r="V220" s="1229"/>
      <c r="W220" s="1229"/>
      <c r="X220" s="1216"/>
      <c r="Y220" s="1216"/>
      <c r="Z220" s="1216"/>
      <c r="AA220" s="1216"/>
    </row>
    <row r="221" spans="2:27" s="1217" customFormat="1" x14ac:dyDescent="0.2">
      <c r="B221" s="1385" t="s">
        <v>851</v>
      </c>
      <c r="C221" s="3040"/>
      <c r="D221" s="3058"/>
      <c r="E221" s="3058"/>
      <c r="F221" s="3041"/>
      <c r="G221" s="1322">
        <f t="shared" si="66"/>
        <v>0</v>
      </c>
      <c r="H221" s="1443">
        <f t="shared" si="67"/>
        <v>0</v>
      </c>
      <c r="I221" s="1390">
        <f t="shared" si="65"/>
        <v>0</v>
      </c>
      <c r="J221" s="3074"/>
      <c r="K221" s="3075"/>
      <c r="L221" s="3075"/>
      <c r="M221" s="3075"/>
      <c r="N221" s="3075"/>
      <c r="O221" s="2036"/>
      <c r="P221" s="1464"/>
      <c r="Q221" s="1464"/>
      <c r="R221" s="1464"/>
      <c r="S221" s="1229"/>
      <c r="T221" s="1229"/>
      <c r="U221" s="1229"/>
      <c r="V221" s="1229"/>
      <c r="W221" s="1229"/>
      <c r="X221" s="1216"/>
      <c r="Y221" s="1216"/>
      <c r="Z221" s="1216"/>
      <c r="AA221" s="1216"/>
    </row>
    <row r="222" spans="2:27" s="1217" customFormat="1" x14ac:dyDescent="0.2">
      <c r="B222" s="1385" t="s">
        <v>852</v>
      </c>
      <c r="C222" s="3040"/>
      <c r="D222" s="3058"/>
      <c r="E222" s="3058"/>
      <c r="F222" s="3041"/>
      <c r="G222" s="1322">
        <f t="shared" si="66"/>
        <v>0</v>
      </c>
      <c r="H222" s="1443">
        <f t="shared" si="67"/>
        <v>0</v>
      </c>
      <c r="I222" s="1390">
        <f t="shared" si="65"/>
        <v>0</v>
      </c>
      <c r="J222" s="3074"/>
      <c r="K222" s="3075"/>
      <c r="L222" s="3075"/>
      <c r="M222" s="3075"/>
      <c r="N222" s="3075"/>
      <c r="O222" s="2036"/>
      <c r="P222" s="1464"/>
      <c r="Q222" s="1464"/>
      <c r="R222" s="1464"/>
      <c r="S222" s="1229"/>
      <c r="T222" s="1229"/>
      <c r="U222" s="1229"/>
      <c r="V222" s="1229"/>
      <c r="W222" s="1229"/>
      <c r="X222" s="1216"/>
      <c r="Y222" s="1216"/>
      <c r="Z222" s="1216"/>
      <c r="AA222" s="1216"/>
    </row>
    <row r="223" spans="2:27" s="1217" customFormat="1" x14ac:dyDescent="0.2">
      <c r="B223" s="1385" t="s">
        <v>853</v>
      </c>
      <c r="C223" s="3040"/>
      <c r="D223" s="3058"/>
      <c r="E223" s="3058"/>
      <c r="F223" s="3041"/>
      <c r="G223" s="1322">
        <f t="shared" si="66"/>
        <v>0</v>
      </c>
      <c r="H223" s="1443">
        <f t="shared" si="67"/>
        <v>0</v>
      </c>
      <c r="I223" s="1390">
        <f t="shared" si="65"/>
        <v>0</v>
      </c>
      <c r="J223" s="3074"/>
      <c r="K223" s="3075"/>
      <c r="L223" s="3075"/>
      <c r="M223" s="3075"/>
      <c r="N223" s="3075"/>
      <c r="O223" s="2036"/>
      <c r="P223" s="1464"/>
      <c r="Q223" s="1464"/>
      <c r="R223" s="1464"/>
      <c r="S223" s="1229"/>
      <c r="T223" s="1229"/>
      <c r="U223" s="1229"/>
      <c r="V223" s="1229"/>
      <c r="W223" s="1229"/>
      <c r="X223" s="1216"/>
      <c r="Y223" s="1216"/>
      <c r="Z223" s="1216"/>
      <c r="AA223" s="1216"/>
    </row>
    <row r="224" spans="2:27" s="1217" customFormat="1" x14ac:dyDescent="0.2">
      <c r="B224" s="1385" t="s">
        <v>854</v>
      </c>
      <c r="C224" s="3040"/>
      <c r="D224" s="3058"/>
      <c r="E224" s="3058"/>
      <c r="F224" s="3041"/>
      <c r="G224" s="1322">
        <f t="shared" si="66"/>
        <v>0</v>
      </c>
      <c r="H224" s="1443">
        <f t="shared" si="67"/>
        <v>0</v>
      </c>
      <c r="I224" s="1390">
        <f t="shared" si="65"/>
        <v>0</v>
      </c>
      <c r="J224" s="3074"/>
      <c r="K224" s="3075"/>
      <c r="L224" s="3075"/>
      <c r="M224" s="3075"/>
      <c r="N224" s="3075"/>
      <c r="O224" s="2036"/>
      <c r="P224" s="1464"/>
      <c r="Q224" s="1464"/>
      <c r="R224" s="1464"/>
      <c r="S224" s="1229"/>
      <c r="T224" s="1229"/>
      <c r="U224" s="1229"/>
      <c r="V224" s="1229"/>
      <c r="W224" s="1229"/>
      <c r="X224" s="1216"/>
      <c r="Y224" s="1216"/>
      <c r="Z224" s="1216"/>
      <c r="AA224" s="1216"/>
    </row>
    <row r="225" spans="2:27" s="1217" customFormat="1" x14ac:dyDescent="0.2">
      <c r="B225" s="1385" t="s">
        <v>855</v>
      </c>
      <c r="C225" s="3040"/>
      <c r="D225" s="3058"/>
      <c r="E225" s="3058"/>
      <c r="F225" s="3041"/>
      <c r="G225" s="1322">
        <f t="shared" si="66"/>
        <v>0</v>
      </c>
      <c r="H225" s="1443">
        <f t="shared" si="67"/>
        <v>0</v>
      </c>
      <c r="I225" s="1390">
        <f t="shared" si="65"/>
        <v>0</v>
      </c>
      <c r="J225" s="3074"/>
      <c r="K225" s="3075"/>
      <c r="L225" s="3075"/>
      <c r="M225" s="3075"/>
      <c r="N225" s="3075"/>
      <c r="O225" s="2036"/>
      <c r="P225" s="1464"/>
      <c r="Q225" s="1464"/>
      <c r="R225" s="1464"/>
      <c r="S225" s="1229"/>
      <c r="T225" s="1229"/>
      <c r="U225" s="1229"/>
      <c r="V225" s="1229"/>
      <c r="W225" s="1229"/>
      <c r="X225" s="1216"/>
      <c r="Y225" s="1216"/>
      <c r="Z225" s="1216"/>
      <c r="AA225" s="1216"/>
    </row>
    <row r="226" spans="2:27" s="1217" customFormat="1" x14ac:dyDescent="0.2">
      <c r="B226" s="1385" t="s">
        <v>856</v>
      </c>
      <c r="C226" s="3040"/>
      <c r="D226" s="3058"/>
      <c r="E226" s="3058"/>
      <c r="F226" s="3041"/>
      <c r="G226" s="1322">
        <f t="shared" si="66"/>
        <v>0</v>
      </c>
      <c r="H226" s="1443">
        <f t="shared" si="67"/>
        <v>0</v>
      </c>
      <c r="I226" s="1390">
        <f t="shared" si="65"/>
        <v>0</v>
      </c>
      <c r="J226" s="3074"/>
      <c r="K226" s="3075"/>
      <c r="L226" s="3075"/>
      <c r="M226" s="3075"/>
      <c r="N226" s="3075"/>
      <c r="O226" s="2036"/>
      <c r="P226" s="1464"/>
      <c r="Q226" s="1464"/>
      <c r="R226" s="1464"/>
      <c r="S226" s="1229"/>
      <c r="T226" s="1229"/>
      <c r="U226" s="1229"/>
      <c r="V226" s="1229"/>
      <c r="W226" s="1229"/>
      <c r="X226" s="1216"/>
      <c r="Y226" s="1216"/>
      <c r="Z226" s="1216"/>
      <c r="AA226" s="1216"/>
    </row>
    <row r="227" spans="2:27" s="1217" customFormat="1" x14ac:dyDescent="0.2">
      <c r="B227" s="1385" t="s">
        <v>857</v>
      </c>
      <c r="C227" s="3040"/>
      <c r="D227" s="3058"/>
      <c r="E227" s="3058"/>
      <c r="F227" s="3041"/>
      <c r="G227" s="1322">
        <f t="shared" si="66"/>
        <v>0</v>
      </c>
      <c r="H227" s="1443">
        <f t="shared" si="67"/>
        <v>0</v>
      </c>
      <c r="I227" s="1390">
        <f t="shared" si="65"/>
        <v>0</v>
      </c>
      <c r="J227" s="3074"/>
      <c r="K227" s="3075"/>
      <c r="L227" s="3075"/>
      <c r="M227" s="3075"/>
      <c r="N227" s="3075"/>
      <c r="O227" s="2036"/>
      <c r="P227" s="1464"/>
      <c r="Q227" s="1464"/>
      <c r="R227" s="1464"/>
      <c r="S227" s="1229"/>
      <c r="T227" s="1229"/>
      <c r="U227" s="1229"/>
      <c r="V227" s="1229"/>
      <c r="W227" s="1229"/>
      <c r="X227" s="1216"/>
      <c r="Y227" s="1216"/>
      <c r="Z227" s="1216"/>
      <c r="AA227" s="1216"/>
    </row>
    <row r="228" spans="2:27" s="1217" customFormat="1" x14ac:dyDescent="0.2">
      <c r="B228" s="1385" t="s">
        <v>858</v>
      </c>
      <c r="C228" s="3040"/>
      <c r="D228" s="3058"/>
      <c r="E228" s="3058"/>
      <c r="F228" s="3041"/>
      <c r="G228" s="1322">
        <f t="shared" si="66"/>
        <v>0</v>
      </c>
      <c r="H228" s="1443">
        <f t="shared" si="67"/>
        <v>0</v>
      </c>
      <c r="I228" s="1390">
        <f t="shared" si="65"/>
        <v>0</v>
      </c>
      <c r="J228" s="3074"/>
      <c r="K228" s="3075"/>
      <c r="L228" s="3075"/>
      <c r="M228" s="3075"/>
      <c r="N228" s="3075"/>
      <c r="O228" s="2036"/>
      <c r="P228" s="1464"/>
      <c r="Q228" s="1464"/>
      <c r="R228" s="1464"/>
      <c r="S228" s="1229"/>
      <c r="T228" s="1229"/>
      <c r="U228" s="1229"/>
      <c r="V228" s="1229"/>
      <c r="W228" s="1229"/>
      <c r="X228" s="1216"/>
      <c r="Y228" s="1216"/>
      <c r="Z228" s="1216"/>
      <c r="AA228" s="1216"/>
    </row>
    <row r="229" spans="2:27" s="1217" customFormat="1" ht="21" customHeight="1" x14ac:dyDescent="0.2">
      <c r="B229" s="1393"/>
      <c r="C229" s="1394"/>
      <c r="D229" s="1394"/>
      <c r="E229" s="1395"/>
      <c r="F229" s="1396"/>
      <c r="G229" s="1397" t="s">
        <v>881</v>
      </c>
      <c r="H229" s="1398">
        <f>SUM(H209:H228)</f>
        <v>0</v>
      </c>
      <c r="I229" s="1399">
        <f>SUM(I209:I228)</f>
        <v>0</v>
      </c>
      <c r="J229" s="1400"/>
      <c r="K229" s="1465"/>
      <c r="L229" s="1465"/>
      <c r="M229" s="1650"/>
      <c r="N229" s="1650"/>
      <c r="O229" s="1406">
        <f>COUNTIF(S209:S228,"3")</f>
        <v>0</v>
      </c>
      <c r="P229" s="1466"/>
      <c r="Q229" s="1466"/>
      <c r="R229" s="1466"/>
      <c r="S229" s="1229"/>
      <c r="T229" s="1229"/>
      <c r="U229" s="1229"/>
      <c r="V229" s="1229"/>
      <c r="W229" s="1197"/>
      <c r="X229" s="1216"/>
      <c r="Y229" s="1216"/>
      <c r="Z229" s="1216"/>
      <c r="AA229" s="1216"/>
    </row>
    <row r="230" spans="2:27" s="1304" customFormat="1" ht="12.75" customHeight="1" x14ac:dyDescent="0.2">
      <c r="B230" s="1431"/>
      <c r="C230" s="1298"/>
      <c r="D230" s="1298"/>
      <c r="E230" s="1298"/>
      <c r="F230" s="1298"/>
      <c r="G230" s="1453"/>
      <c r="H230" s="1433"/>
      <c r="I230" s="1467"/>
      <c r="J230" s="1448"/>
      <c r="K230" s="1448"/>
      <c r="L230" s="1448"/>
      <c r="O230" s="1468">
        <f>O202+O175+O148+O121</f>
        <v>0</v>
      </c>
      <c r="P230" s="1468"/>
      <c r="Q230" s="1468"/>
      <c r="R230" s="1468"/>
      <c r="S230" s="1229"/>
      <c r="T230" s="1229"/>
      <c r="U230" s="1229"/>
      <c r="V230" s="1229"/>
      <c r="W230" s="1302"/>
      <c r="X230" s="1302"/>
      <c r="Y230" s="1302"/>
      <c r="Z230" s="1302"/>
      <c r="AA230" s="1302"/>
    </row>
    <row r="231" spans="2:27" s="1187" customFormat="1" ht="21" customHeight="1" x14ac:dyDescent="0.2">
      <c r="B231" s="1469" t="s">
        <v>882</v>
      </c>
      <c r="C231" s="1437"/>
      <c r="D231" s="1437"/>
      <c r="E231" s="1437"/>
      <c r="F231" s="1437"/>
      <c r="G231" s="1437"/>
      <c r="H231" s="1437"/>
      <c r="I231" s="1470"/>
      <c r="J231" s="2964" t="s">
        <v>861</v>
      </c>
      <c r="K231" s="2965"/>
      <c r="L231" s="2965"/>
      <c r="M231" s="2965"/>
      <c r="N231" s="2965"/>
      <c r="O231" s="2965"/>
      <c r="P231" s="2965"/>
      <c r="Q231" s="2965"/>
      <c r="R231" s="2966"/>
      <c r="S231" s="1229"/>
      <c r="T231" s="1229"/>
      <c r="U231" s="1229"/>
      <c r="V231" s="1229"/>
      <c r="W231" s="1185"/>
      <c r="X231" s="1185"/>
      <c r="Y231" s="1185"/>
      <c r="Z231" s="1185"/>
      <c r="AA231" s="1185"/>
    </row>
    <row r="232" spans="2:27" s="1217" customFormat="1" ht="12.75" customHeight="1" x14ac:dyDescent="0.2">
      <c r="B232" s="1353"/>
      <c r="C232" s="3052" t="s">
        <v>883</v>
      </c>
      <c r="D232" s="3054"/>
      <c r="E232" s="1471" t="s">
        <v>863</v>
      </c>
      <c r="F232" s="1354" t="s">
        <v>864</v>
      </c>
      <c r="G232" s="1355" t="s">
        <v>821</v>
      </c>
      <c r="H232" s="1191" t="s">
        <v>639</v>
      </c>
      <c r="I232" s="1472" t="s">
        <v>639</v>
      </c>
      <c r="J232" s="3038" t="s">
        <v>822</v>
      </c>
      <c r="K232" s="3039"/>
      <c r="L232" s="3000" t="s">
        <v>874</v>
      </c>
      <c r="M232" s="3001"/>
      <c r="N232" s="3002"/>
      <c r="O232" s="1354" t="s">
        <v>875</v>
      </c>
      <c r="P232" s="3005" t="s">
        <v>825</v>
      </c>
      <c r="Q232" s="3005"/>
      <c r="R232" s="3006"/>
      <c r="S232" s="1229"/>
      <c r="T232" s="1229"/>
      <c r="U232" s="1229"/>
      <c r="V232" s="1229"/>
      <c r="W232" s="1216"/>
      <c r="X232" s="1216"/>
      <c r="Y232" s="1216"/>
      <c r="Z232" s="1216"/>
      <c r="AA232" s="1216"/>
    </row>
    <row r="233" spans="2:27" s="1364" customFormat="1" x14ac:dyDescent="0.2">
      <c r="B233" s="1356"/>
      <c r="C233" s="1413"/>
      <c r="D233" s="1360"/>
      <c r="E233" s="1416" t="s">
        <v>867</v>
      </c>
      <c r="F233" s="1360" t="s">
        <v>868</v>
      </c>
      <c r="G233" s="1315"/>
      <c r="H233" s="1315" t="s">
        <v>641</v>
      </c>
      <c r="I233" s="1316" t="s">
        <v>510</v>
      </c>
      <c r="J233" s="3017"/>
      <c r="K233" s="3018"/>
      <c r="L233" s="3027" t="s">
        <v>828</v>
      </c>
      <c r="M233" s="3028"/>
      <c r="N233" s="3029"/>
      <c r="O233" s="1441" t="s">
        <v>1245</v>
      </c>
      <c r="P233" s="1189" t="s">
        <v>830</v>
      </c>
      <c r="Q233" s="1189" t="s">
        <v>831</v>
      </c>
      <c r="R233" s="1361" t="s">
        <v>832</v>
      </c>
      <c r="S233" s="1229"/>
      <c r="T233" s="1229"/>
      <c r="U233" s="1229"/>
      <c r="V233" s="1229"/>
      <c r="W233" s="1362"/>
      <c r="X233" s="1362"/>
      <c r="Y233" s="1362"/>
      <c r="Z233" s="1362"/>
      <c r="AA233" s="1362"/>
    </row>
    <row r="234" spans="2:27" s="1209" customFormat="1" ht="12.75" customHeight="1" x14ac:dyDescent="0.2">
      <c r="B234" s="1199"/>
      <c r="C234" s="1200"/>
      <c r="D234" s="1367"/>
      <c r="E234" s="1473" t="s">
        <v>827</v>
      </c>
      <c r="F234" s="1367" t="s">
        <v>827</v>
      </c>
      <c r="G234" s="1201"/>
      <c r="H234" s="1368"/>
      <c r="I234" s="1321"/>
      <c r="J234" s="1369"/>
      <c r="K234" s="1370"/>
      <c r="L234" s="1371"/>
      <c r="M234" s="3030"/>
      <c r="N234" s="3031"/>
      <c r="O234" s="1370"/>
      <c r="P234" s="1201"/>
      <c r="Q234" s="1201" t="s">
        <v>833</v>
      </c>
      <c r="R234" s="1373" t="s">
        <v>834</v>
      </c>
      <c r="S234" s="1229"/>
      <c r="T234" s="1229"/>
      <c r="U234" s="1229"/>
      <c r="V234" s="1229"/>
      <c r="W234" s="1207"/>
      <c r="X234" s="1207"/>
      <c r="Y234" s="1207"/>
      <c r="Z234" s="1207"/>
      <c r="AA234" s="1207"/>
    </row>
    <row r="235" spans="2:27" s="1423" customFormat="1" ht="14.25" customHeight="1" x14ac:dyDescent="0.2">
      <c r="B235" s="1417" t="s">
        <v>646</v>
      </c>
      <c r="C235" s="3046" t="s">
        <v>869</v>
      </c>
      <c r="D235" s="3047"/>
      <c r="E235" s="1419" t="s">
        <v>302</v>
      </c>
      <c r="F235" s="1418" t="s">
        <v>300</v>
      </c>
      <c r="G235" s="1419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1420">
        <f>IF(C235&lt;&gt;"",G235,0)</f>
        <v>67.5</v>
      </c>
      <c r="I235" s="1421">
        <f t="shared" ref="I235:I255" si="68">H235/15</f>
        <v>4.5</v>
      </c>
      <c r="J235" s="3076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3077"/>
      <c r="L235" s="3032" t="s">
        <v>836</v>
      </c>
      <c r="M235" s="3033"/>
      <c r="N235" s="3034"/>
      <c r="O235" s="2029">
        <v>240817</v>
      </c>
      <c r="P235" s="1379" t="s">
        <v>299</v>
      </c>
      <c r="Q235" s="1379" t="s">
        <v>299</v>
      </c>
      <c r="R235" s="1380"/>
      <c r="S235" s="1229"/>
      <c r="T235" s="1229"/>
      <c r="U235" s="1229"/>
      <c r="V235" s="1229"/>
      <c r="W235" s="1383" t="s">
        <v>837</v>
      </c>
      <c r="X235" s="1383" t="s">
        <v>838</v>
      </c>
      <c r="Y235" s="1422"/>
      <c r="Z235" s="1422"/>
      <c r="AA235" s="1422"/>
    </row>
    <row r="236" spans="2:27" s="1217" customFormat="1" x14ac:dyDescent="0.2">
      <c r="B236" s="1424" t="s">
        <v>839</v>
      </c>
      <c r="C236" s="3040"/>
      <c r="D236" s="3041"/>
      <c r="E236" s="1474"/>
      <c r="F236" s="1389"/>
      <c r="G236" s="1425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475">
        <f>IF(C236&lt;&gt;"",G236,0)</f>
        <v>0</v>
      </c>
      <c r="I236" s="1476">
        <f t="shared" si="68"/>
        <v>0</v>
      </c>
      <c r="J236" s="3078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3079"/>
      <c r="L236" s="3024"/>
      <c r="M236" s="3025"/>
      <c r="N236" s="3026"/>
      <c r="O236" s="2030"/>
      <c r="P236" s="1387"/>
      <c r="Q236" s="1387"/>
      <c r="R236" s="1388"/>
      <c r="S236" s="1229">
        <f>IF(AND(F236&lt;&gt;"",C236&lt;&gt;""),IF(AND(F236="ระดับชาติ",C236&lt;&gt;""),3,IF(AND(F236="ระดับนานาชาติ",C236&lt;&gt;""),5,0)),0)</f>
        <v>0</v>
      </c>
      <c r="T236" s="1229" t="str">
        <f>IF(J236&lt;&gt;"",MID(J236,1,3),"")</f>
        <v/>
      </c>
      <c r="U236" s="1229">
        <f>IF(S236&lt;&gt;0,IF(T236&lt;&gt;"",IF(OR(T236="0.2",T236="0.4",T236="0.6"),1,IF(T236="0.8",2,IF(T236="1.0",3,0))),0),0)</f>
        <v>0</v>
      </c>
      <c r="V236" s="1229">
        <f>IF(O236="",0,IF(U236=1,IF(AND(O236&gt;=$S$21,O236&lt;=$T$21),1,0),IF(U236=2,IF(AND(O236&gt;=$S$21,O236&lt;=$T$21),1,0),IF(U236=3,IF(AND(O236&gt;=$S$21,O236&lt;=$T$21),1,0),0))))</f>
        <v>0</v>
      </c>
      <c r="W236" s="1197">
        <f>IF(U236&lt;&gt;0,1,0)</f>
        <v>0</v>
      </c>
      <c r="X236" s="1197">
        <f>IF(OR(U236=2,U236=3),1,0)</f>
        <v>0</v>
      </c>
      <c r="Y236" s="1216"/>
      <c r="Z236" s="1216"/>
      <c r="AA236" s="1216"/>
    </row>
    <row r="237" spans="2:27" s="1217" customFormat="1" x14ac:dyDescent="0.2">
      <c r="B237" s="1424" t="s">
        <v>840</v>
      </c>
      <c r="C237" s="3040"/>
      <c r="D237" s="3041"/>
      <c r="E237" s="1474"/>
      <c r="F237" s="1389"/>
      <c r="G237" s="1425">
        <f t="shared" ref="G237:G255" si="69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475">
        <f t="shared" ref="H237:H255" si="70">IF(C237&lt;&gt;"",G237,0)</f>
        <v>0</v>
      </c>
      <c r="I237" s="1476">
        <f t="shared" si="68"/>
        <v>0</v>
      </c>
      <c r="J237" s="3078" t="str">
        <f t="shared" ref="J237:J255" si="71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3079"/>
      <c r="L237" s="3024"/>
      <c r="M237" s="3025"/>
      <c r="N237" s="3026"/>
      <c r="O237" s="2030"/>
      <c r="P237" s="1387"/>
      <c r="Q237" s="1387"/>
      <c r="R237" s="1388"/>
      <c r="S237" s="1229">
        <f t="shared" ref="S237:S255" si="72">IF(AND(F237&lt;&gt;"",C237&lt;&gt;""),IF(AND(F237="ระดับชาติ",C237&lt;&gt;""),3,IF(AND(F237="ระดับนานาชาติ",C237&lt;&gt;""),5,0)),0)</f>
        <v>0</v>
      </c>
      <c r="T237" s="1229" t="str">
        <f t="shared" ref="T237:T255" si="73">IF(J237&lt;&gt;"",MID(J237,1,3),"")</f>
        <v/>
      </c>
      <c r="U237" s="1229">
        <f t="shared" si="57"/>
        <v>0</v>
      </c>
      <c r="V237" s="1229">
        <f t="shared" ref="V237:V255" si="74">IF(O237="",0,IF(U237=1,IF(AND(O237&gt;=$S$21,O237&lt;=$T$21),1,0),IF(U237=2,IF(AND(O237&gt;=$S$21,O237&lt;=$T$21),1,0),IF(U237=3,IF(AND(O237&gt;=$S$21,O237&lt;=$T$21),1,0),0))))</f>
        <v>0</v>
      </c>
      <c r="W237" s="1197">
        <f t="shared" ref="W237:W255" si="75">IF(U237&lt;&gt;0,1,0)</f>
        <v>0</v>
      </c>
      <c r="X237" s="1197">
        <f t="shared" ref="X237:X255" si="76">IF(OR(U237=2,U237=3),1,0)</f>
        <v>0</v>
      </c>
      <c r="Y237" s="1216"/>
      <c r="Z237" s="1216"/>
      <c r="AA237" s="1216"/>
    </row>
    <row r="238" spans="2:27" s="1217" customFormat="1" x14ac:dyDescent="0.2">
      <c r="B238" s="1424" t="s">
        <v>841</v>
      </c>
      <c r="C238" s="3040"/>
      <c r="D238" s="3041"/>
      <c r="E238" s="1474"/>
      <c r="F238" s="1389"/>
      <c r="G238" s="1425">
        <f t="shared" si="69"/>
        <v>0</v>
      </c>
      <c r="H238" s="1475">
        <f t="shared" si="70"/>
        <v>0</v>
      </c>
      <c r="I238" s="1476">
        <f t="shared" si="68"/>
        <v>0</v>
      </c>
      <c r="J238" s="3078" t="str">
        <f t="shared" si="71"/>
        <v/>
      </c>
      <c r="K238" s="3079"/>
      <c r="L238" s="3024"/>
      <c r="M238" s="3025"/>
      <c r="N238" s="3026"/>
      <c r="O238" s="2030"/>
      <c r="P238" s="1387"/>
      <c r="Q238" s="1387"/>
      <c r="R238" s="1388"/>
      <c r="S238" s="1229">
        <f t="shared" si="72"/>
        <v>0</v>
      </c>
      <c r="T238" s="1229" t="str">
        <f t="shared" si="73"/>
        <v/>
      </c>
      <c r="U238" s="1229">
        <f t="shared" si="57"/>
        <v>0</v>
      </c>
      <c r="V238" s="1229">
        <f t="shared" si="74"/>
        <v>0</v>
      </c>
      <c r="W238" s="1197">
        <f t="shared" si="75"/>
        <v>0</v>
      </c>
      <c r="X238" s="1197">
        <f t="shared" si="76"/>
        <v>0</v>
      </c>
      <c r="Y238" s="1216"/>
      <c r="Z238" s="1216"/>
      <c r="AA238" s="1216"/>
    </row>
    <row r="239" spans="2:27" s="1217" customFormat="1" x14ac:dyDescent="0.2">
      <c r="B239" s="1424" t="s">
        <v>842</v>
      </c>
      <c r="C239" s="3040"/>
      <c r="D239" s="3041"/>
      <c r="E239" s="1474"/>
      <c r="F239" s="1389"/>
      <c r="G239" s="1425">
        <f t="shared" si="69"/>
        <v>0</v>
      </c>
      <c r="H239" s="1475">
        <f t="shared" si="70"/>
        <v>0</v>
      </c>
      <c r="I239" s="1476">
        <f t="shared" si="68"/>
        <v>0</v>
      </c>
      <c r="J239" s="3078" t="str">
        <f t="shared" si="71"/>
        <v/>
      </c>
      <c r="K239" s="3079"/>
      <c r="L239" s="3024"/>
      <c r="M239" s="3025"/>
      <c r="N239" s="3026"/>
      <c r="O239" s="2030"/>
      <c r="P239" s="1387"/>
      <c r="Q239" s="1387"/>
      <c r="R239" s="1388"/>
      <c r="S239" s="1229">
        <f t="shared" si="72"/>
        <v>0</v>
      </c>
      <c r="T239" s="1229" t="str">
        <f t="shared" si="73"/>
        <v/>
      </c>
      <c r="U239" s="1229">
        <f t="shared" si="57"/>
        <v>0</v>
      </c>
      <c r="V239" s="1229">
        <f t="shared" si="74"/>
        <v>0</v>
      </c>
      <c r="W239" s="1197">
        <f t="shared" si="75"/>
        <v>0</v>
      </c>
      <c r="X239" s="1197">
        <f t="shared" si="76"/>
        <v>0</v>
      </c>
      <c r="Y239" s="1216"/>
      <c r="Z239" s="1216"/>
      <c r="AA239" s="1216"/>
    </row>
    <row r="240" spans="2:27" s="1217" customFormat="1" x14ac:dyDescent="0.2">
      <c r="B240" s="1424" t="s">
        <v>843</v>
      </c>
      <c r="C240" s="3040"/>
      <c r="D240" s="3041"/>
      <c r="E240" s="1474"/>
      <c r="F240" s="1389"/>
      <c r="G240" s="1425">
        <f t="shared" si="69"/>
        <v>0</v>
      </c>
      <c r="H240" s="1475">
        <f t="shared" si="70"/>
        <v>0</v>
      </c>
      <c r="I240" s="1476">
        <f t="shared" si="68"/>
        <v>0</v>
      </c>
      <c r="J240" s="3078" t="str">
        <f t="shared" si="71"/>
        <v/>
      </c>
      <c r="K240" s="3079"/>
      <c r="L240" s="3024"/>
      <c r="M240" s="3025"/>
      <c r="N240" s="3026"/>
      <c r="O240" s="2030"/>
      <c r="P240" s="1387"/>
      <c r="Q240" s="1387"/>
      <c r="R240" s="1388"/>
      <c r="S240" s="1229">
        <f t="shared" si="72"/>
        <v>0</v>
      </c>
      <c r="T240" s="1229" t="str">
        <f t="shared" si="73"/>
        <v/>
      </c>
      <c r="U240" s="1229">
        <f t="shared" si="57"/>
        <v>0</v>
      </c>
      <c r="V240" s="1229">
        <f t="shared" si="74"/>
        <v>0</v>
      </c>
      <c r="W240" s="1197">
        <f t="shared" si="75"/>
        <v>0</v>
      </c>
      <c r="X240" s="1197">
        <f t="shared" si="76"/>
        <v>0</v>
      </c>
      <c r="Y240" s="1216"/>
      <c r="Z240" s="1216"/>
      <c r="AA240" s="1216"/>
    </row>
    <row r="241" spans="2:27" s="1217" customFormat="1" x14ac:dyDescent="0.2">
      <c r="B241" s="1424" t="s">
        <v>844</v>
      </c>
      <c r="C241" s="3040"/>
      <c r="D241" s="3041"/>
      <c r="E241" s="1474"/>
      <c r="F241" s="1389"/>
      <c r="G241" s="1425">
        <f t="shared" si="69"/>
        <v>0</v>
      </c>
      <c r="H241" s="1475">
        <f t="shared" si="70"/>
        <v>0</v>
      </c>
      <c r="I241" s="1476">
        <f t="shared" si="68"/>
        <v>0</v>
      </c>
      <c r="J241" s="3078" t="str">
        <f t="shared" si="71"/>
        <v/>
      </c>
      <c r="K241" s="3079"/>
      <c r="L241" s="3024"/>
      <c r="M241" s="3025"/>
      <c r="N241" s="3026"/>
      <c r="O241" s="2030"/>
      <c r="P241" s="1387"/>
      <c r="Q241" s="1387"/>
      <c r="R241" s="1388"/>
      <c r="S241" s="1229">
        <f t="shared" si="72"/>
        <v>0</v>
      </c>
      <c r="T241" s="1229" t="str">
        <f t="shared" si="73"/>
        <v/>
      </c>
      <c r="U241" s="1229">
        <f t="shared" si="57"/>
        <v>0</v>
      </c>
      <c r="V241" s="1229">
        <f t="shared" si="74"/>
        <v>0</v>
      </c>
      <c r="W241" s="1197">
        <f t="shared" si="75"/>
        <v>0</v>
      </c>
      <c r="X241" s="1197">
        <f t="shared" si="76"/>
        <v>0</v>
      </c>
      <c r="Y241" s="1216"/>
      <c r="Z241" s="1216"/>
      <c r="AA241" s="1216"/>
    </row>
    <row r="242" spans="2:27" s="1217" customFormat="1" x14ac:dyDescent="0.2">
      <c r="B242" s="1424" t="s">
        <v>845</v>
      </c>
      <c r="C242" s="3040"/>
      <c r="D242" s="3041"/>
      <c r="E242" s="1474"/>
      <c r="F242" s="1389"/>
      <c r="G242" s="1425">
        <f t="shared" si="69"/>
        <v>0</v>
      </c>
      <c r="H242" s="1475">
        <f t="shared" si="70"/>
        <v>0</v>
      </c>
      <c r="I242" s="1476">
        <f t="shared" si="68"/>
        <v>0</v>
      </c>
      <c r="J242" s="3078" t="str">
        <f t="shared" si="71"/>
        <v/>
      </c>
      <c r="K242" s="3079"/>
      <c r="L242" s="3024"/>
      <c r="M242" s="3025"/>
      <c r="N242" s="3026"/>
      <c r="O242" s="2030"/>
      <c r="P242" s="1387"/>
      <c r="Q242" s="1387"/>
      <c r="R242" s="1388"/>
      <c r="S242" s="1229">
        <f t="shared" si="72"/>
        <v>0</v>
      </c>
      <c r="T242" s="1229" t="str">
        <f t="shared" si="73"/>
        <v/>
      </c>
      <c r="U242" s="1229">
        <f t="shared" si="57"/>
        <v>0</v>
      </c>
      <c r="V242" s="1229">
        <f t="shared" si="74"/>
        <v>0</v>
      </c>
      <c r="W242" s="1197">
        <f t="shared" si="75"/>
        <v>0</v>
      </c>
      <c r="X242" s="1197">
        <f t="shared" si="76"/>
        <v>0</v>
      </c>
      <c r="Y242" s="1216"/>
      <c r="Z242" s="1216"/>
      <c r="AA242" s="1216"/>
    </row>
    <row r="243" spans="2:27" s="1217" customFormat="1" x14ac:dyDescent="0.2">
      <c r="B243" s="1424" t="s">
        <v>846</v>
      </c>
      <c r="C243" s="3040"/>
      <c r="D243" s="3041"/>
      <c r="E243" s="1474"/>
      <c r="F243" s="1389"/>
      <c r="G243" s="1425">
        <f t="shared" si="69"/>
        <v>0</v>
      </c>
      <c r="H243" s="1475">
        <f t="shared" si="70"/>
        <v>0</v>
      </c>
      <c r="I243" s="1476">
        <f t="shared" si="68"/>
        <v>0</v>
      </c>
      <c r="J243" s="3078" t="str">
        <f t="shared" si="71"/>
        <v/>
      </c>
      <c r="K243" s="3079"/>
      <c r="L243" s="3024"/>
      <c r="M243" s="3025"/>
      <c r="N243" s="3026"/>
      <c r="O243" s="2030"/>
      <c r="P243" s="1387"/>
      <c r="Q243" s="1387"/>
      <c r="R243" s="1388"/>
      <c r="S243" s="1229">
        <f t="shared" si="72"/>
        <v>0</v>
      </c>
      <c r="T243" s="1229" t="str">
        <f t="shared" si="73"/>
        <v/>
      </c>
      <c r="U243" s="1229">
        <f t="shared" si="57"/>
        <v>0</v>
      </c>
      <c r="V243" s="1229">
        <f t="shared" si="74"/>
        <v>0</v>
      </c>
      <c r="W243" s="1197">
        <f t="shared" si="75"/>
        <v>0</v>
      </c>
      <c r="X243" s="1197">
        <f t="shared" si="76"/>
        <v>0</v>
      </c>
      <c r="Y243" s="1216"/>
      <c r="Z243" s="1216"/>
      <c r="AA243" s="1216"/>
    </row>
    <row r="244" spans="2:27" s="1217" customFormat="1" x14ac:dyDescent="0.2">
      <c r="B244" s="1424" t="s">
        <v>847</v>
      </c>
      <c r="C244" s="3040"/>
      <c r="D244" s="3041"/>
      <c r="E244" s="1474"/>
      <c r="F244" s="1389"/>
      <c r="G244" s="1425">
        <f t="shared" si="69"/>
        <v>0</v>
      </c>
      <c r="H244" s="1475">
        <f t="shared" si="70"/>
        <v>0</v>
      </c>
      <c r="I244" s="1476">
        <f t="shared" si="68"/>
        <v>0</v>
      </c>
      <c r="J244" s="3078" t="str">
        <f t="shared" si="71"/>
        <v/>
      </c>
      <c r="K244" s="3079"/>
      <c r="L244" s="3024"/>
      <c r="M244" s="3025"/>
      <c r="N244" s="3026"/>
      <c r="O244" s="2030"/>
      <c r="P244" s="1387"/>
      <c r="Q244" s="1387"/>
      <c r="R244" s="1388"/>
      <c r="S244" s="1229">
        <f t="shared" si="72"/>
        <v>0</v>
      </c>
      <c r="T244" s="1229" t="str">
        <f t="shared" si="73"/>
        <v/>
      </c>
      <c r="U244" s="1229">
        <f t="shared" si="57"/>
        <v>0</v>
      </c>
      <c r="V244" s="1229">
        <f t="shared" si="74"/>
        <v>0</v>
      </c>
      <c r="W244" s="1197">
        <f t="shared" si="75"/>
        <v>0</v>
      </c>
      <c r="X244" s="1197">
        <f t="shared" si="76"/>
        <v>0</v>
      </c>
      <c r="Y244" s="1216"/>
      <c r="Z244" s="1216"/>
      <c r="AA244" s="1216"/>
    </row>
    <row r="245" spans="2:27" s="1217" customFormat="1" x14ac:dyDescent="0.2">
      <c r="B245" s="1424" t="s">
        <v>848</v>
      </c>
      <c r="C245" s="3040"/>
      <c r="D245" s="3041"/>
      <c r="E245" s="1474"/>
      <c r="F245" s="1389"/>
      <c r="G245" s="1425">
        <f t="shared" si="69"/>
        <v>0</v>
      </c>
      <c r="H245" s="1475">
        <f t="shared" si="70"/>
        <v>0</v>
      </c>
      <c r="I245" s="1476">
        <f t="shared" si="68"/>
        <v>0</v>
      </c>
      <c r="J245" s="3078" t="str">
        <f t="shared" si="71"/>
        <v/>
      </c>
      <c r="K245" s="3079"/>
      <c r="L245" s="3024"/>
      <c r="M245" s="3025"/>
      <c r="N245" s="3026"/>
      <c r="O245" s="2030"/>
      <c r="P245" s="1387"/>
      <c r="Q245" s="1387"/>
      <c r="R245" s="1388"/>
      <c r="S245" s="1229">
        <f t="shared" si="72"/>
        <v>0</v>
      </c>
      <c r="T245" s="1229" t="str">
        <f t="shared" si="73"/>
        <v/>
      </c>
      <c r="U245" s="1229">
        <f t="shared" si="57"/>
        <v>0</v>
      </c>
      <c r="V245" s="1229">
        <f t="shared" si="74"/>
        <v>0</v>
      </c>
      <c r="W245" s="1197">
        <f t="shared" si="75"/>
        <v>0</v>
      </c>
      <c r="X245" s="1197">
        <f t="shared" si="76"/>
        <v>0</v>
      </c>
      <c r="Y245" s="1216"/>
      <c r="Z245" s="1216"/>
      <c r="AA245" s="1216"/>
    </row>
    <row r="246" spans="2:27" s="1217" customFormat="1" x14ac:dyDescent="0.2">
      <c r="B246" s="1424" t="s">
        <v>849</v>
      </c>
      <c r="C246" s="3040"/>
      <c r="D246" s="3041"/>
      <c r="E246" s="1477"/>
      <c r="F246" s="1427"/>
      <c r="G246" s="1425">
        <f t="shared" si="69"/>
        <v>0</v>
      </c>
      <c r="H246" s="1475">
        <f t="shared" si="70"/>
        <v>0</v>
      </c>
      <c r="I246" s="1476">
        <f t="shared" si="68"/>
        <v>0</v>
      </c>
      <c r="J246" s="3078" t="str">
        <f t="shared" si="71"/>
        <v/>
      </c>
      <c r="K246" s="3079"/>
      <c r="L246" s="3024"/>
      <c r="M246" s="3025"/>
      <c r="N246" s="3026"/>
      <c r="O246" s="2031"/>
      <c r="P246" s="1391"/>
      <c r="Q246" s="1391"/>
      <c r="R246" s="1392"/>
      <c r="S246" s="1229">
        <f t="shared" si="72"/>
        <v>0</v>
      </c>
      <c r="T246" s="1229" t="str">
        <f t="shared" si="73"/>
        <v/>
      </c>
      <c r="U246" s="1229">
        <f t="shared" si="57"/>
        <v>0</v>
      </c>
      <c r="V246" s="1229">
        <f t="shared" si="74"/>
        <v>0</v>
      </c>
      <c r="W246" s="1197">
        <f t="shared" si="75"/>
        <v>0</v>
      </c>
      <c r="X246" s="1197">
        <f t="shared" si="76"/>
        <v>0</v>
      </c>
      <c r="Y246" s="1216"/>
      <c r="Z246" s="1216"/>
      <c r="AA246" s="1216"/>
    </row>
    <row r="247" spans="2:27" s="1217" customFormat="1" x14ac:dyDescent="0.2">
      <c r="B247" s="1424" t="s">
        <v>850</v>
      </c>
      <c r="C247" s="3040"/>
      <c r="D247" s="3041"/>
      <c r="E247" s="1477"/>
      <c r="F247" s="1427"/>
      <c r="G247" s="1425">
        <f t="shared" si="69"/>
        <v>0</v>
      </c>
      <c r="H247" s="1475">
        <f t="shared" si="70"/>
        <v>0</v>
      </c>
      <c r="I247" s="1476">
        <f t="shared" si="68"/>
        <v>0</v>
      </c>
      <c r="J247" s="3078" t="str">
        <f t="shared" si="71"/>
        <v/>
      </c>
      <c r="K247" s="3079"/>
      <c r="L247" s="3024"/>
      <c r="M247" s="3025"/>
      <c r="N247" s="3026"/>
      <c r="O247" s="2031"/>
      <c r="P247" s="1391"/>
      <c r="Q247" s="1391"/>
      <c r="R247" s="1392"/>
      <c r="S247" s="1229">
        <f t="shared" si="72"/>
        <v>0</v>
      </c>
      <c r="T247" s="1229" t="str">
        <f t="shared" si="73"/>
        <v/>
      </c>
      <c r="U247" s="1229">
        <f t="shared" si="57"/>
        <v>0</v>
      </c>
      <c r="V247" s="1229">
        <f t="shared" si="74"/>
        <v>0</v>
      </c>
      <c r="W247" s="1197">
        <f t="shared" si="75"/>
        <v>0</v>
      </c>
      <c r="X247" s="1197">
        <f t="shared" si="76"/>
        <v>0</v>
      </c>
      <c r="Y247" s="1216"/>
      <c r="Z247" s="1216"/>
      <c r="AA247" s="1216"/>
    </row>
    <row r="248" spans="2:27" s="1217" customFormat="1" x14ac:dyDescent="0.2">
      <c r="B248" s="1424" t="s">
        <v>851</v>
      </c>
      <c r="C248" s="3040"/>
      <c r="D248" s="3041"/>
      <c r="E248" s="1477"/>
      <c r="F248" s="1427"/>
      <c r="G248" s="1425">
        <f t="shared" si="69"/>
        <v>0</v>
      </c>
      <c r="H248" s="1475">
        <f t="shared" si="70"/>
        <v>0</v>
      </c>
      <c r="I248" s="1476">
        <f t="shared" si="68"/>
        <v>0</v>
      </c>
      <c r="J248" s="3078" t="str">
        <f t="shared" si="71"/>
        <v/>
      </c>
      <c r="K248" s="3079"/>
      <c r="L248" s="3024"/>
      <c r="M248" s="3025"/>
      <c r="N248" s="3026"/>
      <c r="O248" s="2031"/>
      <c r="P248" s="1391"/>
      <c r="Q248" s="1391"/>
      <c r="R248" s="1392"/>
      <c r="S248" s="1229">
        <f t="shared" si="72"/>
        <v>0</v>
      </c>
      <c r="T248" s="1229" t="str">
        <f t="shared" si="73"/>
        <v/>
      </c>
      <c r="U248" s="1229">
        <f t="shared" si="57"/>
        <v>0</v>
      </c>
      <c r="V248" s="1229">
        <f t="shared" si="74"/>
        <v>0</v>
      </c>
      <c r="W248" s="1197">
        <f t="shared" si="75"/>
        <v>0</v>
      </c>
      <c r="X248" s="1197">
        <f t="shared" si="76"/>
        <v>0</v>
      </c>
      <c r="Y248" s="1216"/>
      <c r="Z248" s="1216"/>
      <c r="AA248" s="1216"/>
    </row>
    <row r="249" spans="2:27" s="1217" customFormat="1" x14ac:dyDescent="0.2">
      <c r="B249" s="1424" t="s">
        <v>852</v>
      </c>
      <c r="C249" s="3040"/>
      <c r="D249" s="3041"/>
      <c r="E249" s="1477"/>
      <c r="F249" s="1427"/>
      <c r="G249" s="1425">
        <f t="shared" si="69"/>
        <v>0</v>
      </c>
      <c r="H249" s="1475">
        <f t="shared" si="70"/>
        <v>0</v>
      </c>
      <c r="I249" s="1476">
        <f t="shared" si="68"/>
        <v>0</v>
      </c>
      <c r="J249" s="3078" t="str">
        <f t="shared" si="71"/>
        <v/>
      </c>
      <c r="K249" s="3079"/>
      <c r="L249" s="3024"/>
      <c r="M249" s="3025"/>
      <c r="N249" s="3026"/>
      <c r="O249" s="2031"/>
      <c r="P249" s="1391"/>
      <c r="Q249" s="1391"/>
      <c r="R249" s="1392"/>
      <c r="S249" s="1229">
        <f t="shared" si="72"/>
        <v>0</v>
      </c>
      <c r="T249" s="1229" t="str">
        <f t="shared" si="73"/>
        <v/>
      </c>
      <c r="U249" s="1229">
        <f t="shared" si="57"/>
        <v>0</v>
      </c>
      <c r="V249" s="1229">
        <f t="shared" si="74"/>
        <v>0</v>
      </c>
      <c r="W249" s="1197">
        <f t="shared" si="75"/>
        <v>0</v>
      </c>
      <c r="X249" s="1197">
        <f t="shared" si="76"/>
        <v>0</v>
      </c>
      <c r="Y249" s="1216"/>
      <c r="Z249" s="1216"/>
      <c r="AA249" s="1216"/>
    </row>
    <row r="250" spans="2:27" s="1217" customFormat="1" x14ac:dyDescent="0.2">
      <c r="B250" s="1424" t="s">
        <v>853</v>
      </c>
      <c r="C250" s="3040"/>
      <c r="D250" s="3041"/>
      <c r="E250" s="1477"/>
      <c r="F250" s="1427"/>
      <c r="G250" s="1425">
        <f t="shared" si="69"/>
        <v>0</v>
      </c>
      <c r="H250" s="1475">
        <f t="shared" si="70"/>
        <v>0</v>
      </c>
      <c r="I250" s="1476">
        <f t="shared" si="68"/>
        <v>0</v>
      </c>
      <c r="J250" s="3078" t="str">
        <f t="shared" si="71"/>
        <v/>
      </c>
      <c r="K250" s="3079"/>
      <c r="L250" s="3024"/>
      <c r="M250" s="3025"/>
      <c r="N250" s="3026"/>
      <c r="O250" s="2031"/>
      <c r="P250" s="1391"/>
      <c r="Q250" s="1391"/>
      <c r="R250" s="1392"/>
      <c r="S250" s="1229">
        <f t="shared" si="72"/>
        <v>0</v>
      </c>
      <c r="T250" s="1229" t="str">
        <f t="shared" si="73"/>
        <v/>
      </c>
      <c r="U250" s="1229">
        <f t="shared" si="57"/>
        <v>0</v>
      </c>
      <c r="V250" s="1229">
        <f t="shared" si="74"/>
        <v>0</v>
      </c>
      <c r="W250" s="1197">
        <f t="shared" si="75"/>
        <v>0</v>
      </c>
      <c r="X250" s="1197">
        <f t="shared" si="76"/>
        <v>0</v>
      </c>
      <c r="Y250" s="1216"/>
      <c r="Z250" s="1216"/>
      <c r="AA250" s="1216"/>
    </row>
    <row r="251" spans="2:27" s="1217" customFormat="1" x14ac:dyDescent="0.2">
      <c r="B251" s="1424" t="s">
        <v>854</v>
      </c>
      <c r="C251" s="3040"/>
      <c r="D251" s="3041"/>
      <c r="E251" s="1477"/>
      <c r="F251" s="1427"/>
      <c r="G251" s="1425">
        <f t="shared" si="69"/>
        <v>0</v>
      </c>
      <c r="H251" s="1475">
        <f t="shared" si="70"/>
        <v>0</v>
      </c>
      <c r="I251" s="1476">
        <f t="shared" si="68"/>
        <v>0</v>
      </c>
      <c r="J251" s="3078" t="str">
        <f t="shared" si="71"/>
        <v/>
      </c>
      <c r="K251" s="3079"/>
      <c r="L251" s="3024"/>
      <c r="M251" s="3025"/>
      <c r="N251" s="3026"/>
      <c r="O251" s="2031"/>
      <c r="P251" s="1391"/>
      <c r="Q251" s="1391"/>
      <c r="R251" s="1392"/>
      <c r="S251" s="1229">
        <f t="shared" si="72"/>
        <v>0</v>
      </c>
      <c r="T251" s="1229" t="str">
        <f t="shared" si="73"/>
        <v/>
      </c>
      <c r="U251" s="1229">
        <f t="shared" si="57"/>
        <v>0</v>
      </c>
      <c r="V251" s="1229">
        <f t="shared" si="74"/>
        <v>0</v>
      </c>
      <c r="W251" s="1197">
        <f t="shared" si="75"/>
        <v>0</v>
      </c>
      <c r="X251" s="1197">
        <f t="shared" si="76"/>
        <v>0</v>
      </c>
      <c r="Y251" s="1216"/>
      <c r="Z251" s="1216"/>
      <c r="AA251" s="1216"/>
    </row>
    <row r="252" spans="2:27" s="1217" customFormat="1" x14ac:dyDescent="0.2">
      <c r="B252" s="1424" t="s">
        <v>855</v>
      </c>
      <c r="C252" s="3040"/>
      <c r="D252" s="3041"/>
      <c r="E252" s="1477"/>
      <c r="F252" s="1427"/>
      <c r="G252" s="1425">
        <f t="shared" si="69"/>
        <v>0</v>
      </c>
      <c r="H252" s="1475">
        <f t="shared" si="70"/>
        <v>0</v>
      </c>
      <c r="I252" s="1476">
        <f t="shared" si="68"/>
        <v>0</v>
      </c>
      <c r="J252" s="3078" t="str">
        <f t="shared" si="71"/>
        <v/>
      </c>
      <c r="K252" s="3079"/>
      <c r="L252" s="3024"/>
      <c r="M252" s="3025"/>
      <c r="N252" s="3026"/>
      <c r="O252" s="2031"/>
      <c r="P252" s="1391"/>
      <c r="Q252" s="1391"/>
      <c r="R252" s="1392"/>
      <c r="S252" s="1229">
        <f t="shared" si="72"/>
        <v>0</v>
      </c>
      <c r="T252" s="1229" t="str">
        <f t="shared" si="73"/>
        <v/>
      </c>
      <c r="U252" s="1229">
        <f t="shared" si="57"/>
        <v>0</v>
      </c>
      <c r="V252" s="1229">
        <f t="shared" si="74"/>
        <v>0</v>
      </c>
      <c r="W252" s="1197">
        <f t="shared" si="75"/>
        <v>0</v>
      </c>
      <c r="X252" s="1197">
        <f t="shared" si="76"/>
        <v>0</v>
      </c>
      <c r="Y252" s="1216"/>
      <c r="Z252" s="1216"/>
      <c r="AA252" s="1216"/>
    </row>
    <row r="253" spans="2:27" s="1217" customFormat="1" x14ac:dyDescent="0.2">
      <c r="B253" s="1424" t="s">
        <v>856</v>
      </c>
      <c r="C253" s="3040"/>
      <c r="D253" s="3041"/>
      <c r="E253" s="1477"/>
      <c r="F253" s="1427"/>
      <c r="G253" s="1425">
        <f t="shared" si="69"/>
        <v>0</v>
      </c>
      <c r="H253" s="1475">
        <f t="shared" si="70"/>
        <v>0</v>
      </c>
      <c r="I253" s="1476">
        <f t="shared" si="68"/>
        <v>0</v>
      </c>
      <c r="J253" s="3078" t="str">
        <f t="shared" si="71"/>
        <v/>
      </c>
      <c r="K253" s="3079"/>
      <c r="L253" s="3024"/>
      <c r="M253" s="3025"/>
      <c r="N253" s="3026"/>
      <c r="O253" s="2031"/>
      <c r="P253" s="1391"/>
      <c r="Q253" s="1391"/>
      <c r="R253" s="1392"/>
      <c r="S253" s="1229">
        <f t="shared" si="72"/>
        <v>0</v>
      </c>
      <c r="T253" s="1229" t="str">
        <f t="shared" si="73"/>
        <v/>
      </c>
      <c r="U253" s="1229">
        <f t="shared" si="57"/>
        <v>0</v>
      </c>
      <c r="V253" s="1229">
        <f t="shared" si="74"/>
        <v>0</v>
      </c>
      <c r="W253" s="1197">
        <f t="shared" si="75"/>
        <v>0</v>
      </c>
      <c r="X253" s="1197">
        <f t="shared" si="76"/>
        <v>0</v>
      </c>
      <c r="Y253" s="1216"/>
      <c r="Z253" s="1216"/>
      <c r="AA253" s="1216"/>
    </row>
    <row r="254" spans="2:27" s="1217" customFormat="1" x14ac:dyDescent="0.2">
      <c r="B254" s="1424" t="s">
        <v>857</v>
      </c>
      <c r="C254" s="3040"/>
      <c r="D254" s="3041"/>
      <c r="E254" s="1477"/>
      <c r="F254" s="1427"/>
      <c r="G254" s="1425">
        <f t="shared" si="69"/>
        <v>0</v>
      </c>
      <c r="H254" s="1475">
        <f t="shared" si="70"/>
        <v>0</v>
      </c>
      <c r="I254" s="1476">
        <f t="shared" si="68"/>
        <v>0</v>
      </c>
      <c r="J254" s="3078" t="str">
        <f t="shared" si="71"/>
        <v/>
      </c>
      <c r="K254" s="3079"/>
      <c r="L254" s="3024"/>
      <c r="M254" s="3025"/>
      <c r="N254" s="3026"/>
      <c r="O254" s="2031"/>
      <c r="P254" s="1391"/>
      <c r="Q254" s="1391"/>
      <c r="R254" s="1392"/>
      <c r="S254" s="1229">
        <f t="shared" si="72"/>
        <v>0</v>
      </c>
      <c r="T254" s="1229" t="str">
        <f t="shared" si="73"/>
        <v/>
      </c>
      <c r="U254" s="1229">
        <f t="shared" si="57"/>
        <v>0</v>
      </c>
      <c r="V254" s="1229">
        <f t="shared" si="74"/>
        <v>0</v>
      </c>
      <c r="W254" s="1197">
        <f t="shared" si="75"/>
        <v>0</v>
      </c>
      <c r="X254" s="1197">
        <f t="shared" si="76"/>
        <v>0</v>
      </c>
      <c r="Y254" s="1216"/>
      <c r="Z254" s="1216"/>
      <c r="AA254" s="1216"/>
    </row>
    <row r="255" spans="2:27" s="1217" customFormat="1" x14ac:dyDescent="0.2">
      <c r="B255" s="1424" t="s">
        <v>858</v>
      </c>
      <c r="C255" s="3040"/>
      <c r="D255" s="3041"/>
      <c r="E255" s="1477"/>
      <c r="F255" s="1427"/>
      <c r="G255" s="1425">
        <f t="shared" si="69"/>
        <v>0</v>
      </c>
      <c r="H255" s="1475">
        <f t="shared" si="70"/>
        <v>0</v>
      </c>
      <c r="I255" s="1476">
        <f t="shared" si="68"/>
        <v>0</v>
      </c>
      <c r="J255" s="3078" t="str">
        <f t="shared" si="71"/>
        <v/>
      </c>
      <c r="K255" s="3079"/>
      <c r="L255" s="3024"/>
      <c r="M255" s="3025"/>
      <c r="N255" s="3026"/>
      <c r="O255" s="2031"/>
      <c r="P255" s="1391"/>
      <c r="Q255" s="1391"/>
      <c r="R255" s="1392"/>
      <c r="S255" s="1229">
        <f t="shared" si="72"/>
        <v>0</v>
      </c>
      <c r="T255" s="1229" t="str">
        <f t="shared" si="73"/>
        <v/>
      </c>
      <c r="U255" s="1229">
        <f t="shared" si="57"/>
        <v>0</v>
      </c>
      <c r="V255" s="1229">
        <f t="shared" si="74"/>
        <v>0</v>
      </c>
      <c r="W255" s="1197">
        <f t="shared" si="75"/>
        <v>0</v>
      </c>
      <c r="X255" s="1197">
        <f t="shared" si="76"/>
        <v>0</v>
      </c>
      <c r="Y255" s="1216"/>
      <c r="Z255" s="1216"/>
      <c r="AA255" s="1216"/>
    </row>
    <row r="256" spans="2:27" s="1217" customFormat="1" ht="21" customHeight="1" x14ac:dyDescent="0.2">
      <c r="B256" s="1393"/>
      <c r="C256" s="1394"/>
      <c r="D256" s="1394"/>
      <c r="E256" s="1394"/>
      <c r="F256" s="1394"/>
      <c r="G256" s="1428" t="s">
        <v>884</v>
      </c>
      <c r="H256" s="1398">
        <f>SUM(H236:H255)</f>
        <v>0</v>
      </c>
      <c r="I256" s="1399">
        <f>SUM(I236:I255)</f>
        <v>0</v>
      </c>
      <c r="J256" s="1400"/>
      <c r="K256" s="1401"/>
      <c r="L256" s="1402"/>
      <c r="M256" s="1652">
        <f>SUM(V236:V255)</f>
        <v>0</v>
      </c>
      <c r="N256" s="1444"/>
      <c r="O256" s="1405">
        <f>COUNTIF(S236:S255,"3")</f>
        <v>0</v>
      </c>
      <c r="P256" s="1405"/>
      <c r="Q256" s="1405"/>
      <c r="R256" s="1406"/>
      <c r="S256" s="1229"/>
      <c r="T256" s="1229"/>
      <c r="U256" s="1229"/>
      <c r="V256" s="1229"/>
      <c r="W256" s="1229">
        <f>SUM(W236:W255)</f>
        <v>0</v>
      </c>
      <c r="X256" s="1229">
        <f>SUM(X236:X255)</f>
        <v>0</v>
      </c>
      <c r="Y256" s="1216"/>
      <c r="Z256" s="1216"/>
      <c r="AA256" s="1216"/>
    </row>
    <row r="257" spans="2:27" s="1304" customFormat="1" ht="12.75" customHeight="1" x14ac:dyDescent="0.2">
      <c r="B257" s="1445"/>
      <c r="C257" s="1411"/>
      <c r="D257" s="1411"/>
      <c r="E257" s="1411"/>
      <c r="F257" s="1411"/>
      <c r="G257" s="1478"/>
      <c r="H257" s="1447"/>
      <c r="I257" s="1479"/>
      <c r="J257" s="1448"/>
      <c r="K257" s="1448"/>
      <c r="L257" s="1448"/>
      <c r="S257" s="1302"/>
      <c r="T257" s="1302"/>
      <c r="U257" s="1302"/>
      <c r="V257" s="1303"/>
      <c r="W257" s="1302"/>
      <c r="X257" s="1302"/>
      <c r="Y257" s="1302"/>
      <c r="Z257" s="1302"/>
      <c r="AA257" s="1302"/>
    </row>
    <row r="258" spans="2:27" s="1187" customFormat="1" ht="21" customHeight="1" x14ac:dyDescent="0.2">
      <c r="B258" s="1480" t="s">
        <v>885</v>
      </c>
      <c r="C258" s="1182"/>
      <c r="D258" s="1182"/>
      <c r="E258" s="1182"/>
      <c r="F258" s="1182"/>
      <c r="G258" s="1182"/>
      <c r="H258" s="1182"/>
      <c r="I258" s="1481"/>
      <c r="J258" s="1482"/>
      <c r="K258" s="1482"/>
      <c r="L258" s="1482"/>
      <c r="M258" s="1483"/>
      <c r="N258" s="1483"/>
      <c r="S258" s="1185"/>
      <c r="T258" s="1185"/>
      <c r="U258" s="1185"/>
      <c r="V258" s="1186"/>
      <c r="W258" s="1185"/>
      <c r="X258" s="1185"/>
      <c r="Y258" s="1185"/>
      <c r="Z258" s="1185"/>
      <c r="AA258" s="1185"/>
    </row>
    <row r="259" spans="2:27" s="1217" customFormat="1" ht="15" customHeight="1" x14ac:dyDescent="0.2">
      <c r="B259" s="1353"/>
      <c r="C259" s="1484" t="s">
        <v>277</v>
      </c>
      <c r="D259" s="1189" t="s">
        <v>886</v>
      </c>
      <c r="E259" s="1355" t="s">
        <v>821</v>
      </c>
      <c r="F259" s="1191" t="s">
        <v>639</v>
      </c>
      <c r="G259" s="1191" t="s">
        <v>639</v>
      </c>
      <c r="H259" s="3000" t="s">
        <v>887</v>
      </c>
      <c r="I259" s="3080"/>
      <c r="J259" s="1458"/>
      <c r="K259" s="1458"/>
      <c r="L259" s="1458"/>
      <c r="M259" s="1304"/>
      <c r="N259" s="1304"/>
      <c r="S259" s="1216"/>
      <c r="T259" s="1216"/>
      <c r="U259" s="1216"/>
      <c r="V259" s="1197"/>
      <c r="W259" s="1216"/>
      <c r="X259" s="1216"/>
      <c r="Y259" s="1216"/>
      <c r="Z259" s="1216"/>
      <c r="AA259" s="1216"/>
    </row>
    <row r="260" spans="2:27" s="1217" customFormat="1" ht="15" customHeight="1" x14ac:dyDescent="0.2">
      <c r="B260" s="1485"/>
      <c r="C260" s="1486"/>
      <c r="D260" s="1368" t="s">
        <v>888</v>
      </c>
      <c r="E260" s="1202"/>
      <c r="F260" s="1202" t="s">
        <v>641</v>
      </c>
      <c r="G260" s="1202" t="s">
        <v>510</v>
      </c>
      <c r="H260" s="1487"/>
      <c r="I260" s="1488"/>
      <c r="J260" s="1334"/>
      <c r="K260" s="1334"/>
      <c r="L260" s="1334"/>
      <c r="M260" s="1304"/>
      <c r="N260" s="1304"/>
      <c r="S260" s="1216"/>
      <c r="T260" s="1216"/>
      <c r="U260" s="1216"/>
      <c r="V260" s="1197"/>
      <c r="W260" s="1216"/>
      <c r="X260" s="1216"/>
      <c r="Y260" s="1216"/>
      <c r="Z260" s="1216"/>
      <c r="AA260" s="1216"/>
    </row>
    <row r="261" spans="2:27" s="1198" customFormat="1" x14ac:dyDescent="0.2">
      <c r="B261" s="1489" t="s">
        <v>743</v>
      </c>
      <c r="C261" s="1490" t="s">
        <v>889</v>
      </c>
      <c r="D261" s="1491"/>
      <c r="E261" s="1492">
        <v>0.5</v>
      </c>
      <c r="F261" s="1426">
        <f t="shared" ref="F261:F266" si="77">IF(D261=0,0,(D261*E261))</f>
        <v>0</v>
      </c>
      <c r="G261" s="1426">
        <f t="shared" ref="G261:G266" si="78">F261/15</f>
        <v>0</v>
      </c>
      <c r="H261" s="3081"/>
      <c r="I261" s="3082"/>
      <c r="J261" s="1335"/>
      <c r="K261" s="1335"/>
      <c r="L261" s="1335"/>
      <c r="M261" s="1493"/>
      <c r="N261" s="1493"/>
      <c r="S261" s="1196"/>
      <c r="T261" s="1196"/>
      <c r="U261" s="1196"/>
      <c r="V261" s="1197"/>
      <c r="W261" s="1196"/>
      <c r="X261" s="1196"/>
      <c r="Y261" s="1196"/>
      <c r="Z261" s="1196"/>
      <c r="AA261" s="1196"/>
    </row>
    <row r="262" spans="2:27" s="1217" customFormat="1" x14ac:dyDescent="0.2">
      <c r="B262" s="1489" t="s">
        <v>744</v>
      </c>
      <c r="C262" s="1490" t="s">
        <v>890</v>
      </c>
      <c r="D262" s="1494"/>
      <c r="E262" s="1492">
        <v>3</v>
      </c>
      <c r="F262" s="1426">
        <f t="shared" si="77"/>
        <v>0</v>
      </c>
      <c r="G262" s="1426">
        <f t="shared" si="78"/>
        <v>0</v>
      </c>
      <c r="H262" s="3081"/>
      <c r="I262" s="3082"/>
      <c r="J262" s="1334"/>
      <c r="K262" s="1334"/>
      <c r="L262" s="1334"/>
      <c r="M262" s="1304"/>
      <c r="N262" s="1304"/>
      <c r="S262" s="1216"/>
      <c r="T262" s="1216"/>
      <c r="U262" s="1216"/>
      <c r="V262" s="1197"/>
      <c r="W262" s="1216"/>
      <c r="X262" s="1216"/>
      <c r="Y262" s="1216"/>
      <c r="Z262" s="1216"/>
      <c r="AA262" s="1216"/>
    </row>
    <row r="263" spans="2:27" s="1217" customFormat="1" x14ac:dyDescent="0.2">
      <c r="B263" s="1489" t="s">
        <v>745</v>
      </c>
      <c r="C263" s="1495" t="s">
        <v>891</v>
      </c>
      <c r="D263" s="1491"/>
      <c r="E263" s="1492">
        <v>6</v>
      </c>
      <c r="F263" s="1426">
        <f t="shared" si="77"/>
        <v>0</v>
      </c>
      <c r="G263" s="1426">
        <f t="shared" si="78"/>
        <v>0</v>
      </c>
      <c r="H263" s="3081"/>
      <c r="I263" s="3082"/>
      <c r="J263" s="1334"/>
      <c r="K263" s="1334"/>
      <c r="L263" s="1334"/>
      <c r="M263" s="1304"/>
      <c r="N263" s="1304"/>
      <c r="S263" s="1216"/>
      <c r="T263" s="1216"/>
      <c r="U263" s="1216"/>
      <c r="V263" s="1197"/>
      <c r="W263" s="1216"/>
      <c r="X263" s="1216"/>
      <c r="Y263" s="1216"/>
      <c r="Z263" s="1216"/>
      <c r="AA263" s="1216"/>
    </row>
    <row r="264" spans="2:27" s="1217" customFormat="1" x14ac:dyDescent="0.2">
      <c r="B264" s="1489" t="s">
        <v>746</v>
      </c>
      <c r="C264" s="1495" t="s">
        <v>892</v>
      </c>
      <c r="D264" s="1491"/>
      <c r="E264" s="1492">
        <v>6</v>
      </c>
      <c r="F264" s="1426">
        <f t="shared" si="77"/>
        <v>0</v>
      </c>
      <c r="G264" s="1426">
        <f t="shared" si="78"/>
        <v>0</v>
      </c>
      <c r="H264" s="3081"/>
      <c r="I264" s="3082"/>
      <c r="J264" s="1334"/>
      <c r="K264" s="1334"/>
      <c r="L264" s="1334"/>
      <c r="M264" s="1304"/>
      <c r="N264" s="1304"/>
      <c r="S264" s="1216"/>
      <c r="T264" s="1216"/>
      <c r="U264" s="1216"/>
      <c r="V264" s="1197"/>
      <c r="W264" s="1216"/>
      <c r="X264" s="1216"/>
      <c r="Y264" s="1216"/>
      <c r="Z264" s="1216"/>
      <c r="AA264" s="1216"/>
    </row>
    <row r="265" spans="2:27" s="1217" customFormat="1" x14ac:dyDescent="0.2">
      <c r="B265" s="1489" t="s">
        <v>747</v>
      </c>
      <c r="C265" s="1495" t="s">
        <v>893</v>
      </c>
      <c r="D265" s="1491"/>
      <c r="E265" s="1492">
        <v>9</v>
      </c>
      <c r="F265" s="1426">
        <f t="shared" si="77"/>
        <v>0</v>
      </c>
      <c r="G265" s="1426">
        <f t="shared" si="78"/>
        <v>0</v>
      </c>
      <c r="H265" s="3081"/>
      <c r="I265" s="3082"/>
      <c r="J265" s="1334"/>
      <c r="K265" s="1334"/>
      <c r="L265" s="1334"/>
      <c r="M265" s="1304"/>
      <c r="N265" s="1304"/>
      <c r="S265" s="1216"/>
      <c r="T265" s="1216"/>
      <c r="U265" s="1216"/>
      <c r="V265" s="1197"/>
      <c r="W265" s="1216"/>
      <c r="X265" s="1216"/>
      <c r="Y265" s="1216"/>
      <c r="Z265" s="1216"/>
      <c r="AA265" s="1216"/>
    </row>
    <row r="266" spans="2:27" s="1217" customFormat="1" x14ac:dyDescent="0.2">
      <c r="B266" s="1489" t="s">
        <v>748</v>
      </c>
      <c r="C266" s="1495" t="s">
        <v>894</v>
      </c>
      <c r="D266" s="1491"/>
      <c r="E266" s="1492">
        <v>12</v>
      </c>
      <c r="F266" s="1426">
        <f t="shared" si="77"/>
        <v>0</v>
      </c>
      <c r="G266" s="1426">
        <f t="shared" si="78"/>
        <v>0</v>
      </c>
      <c r="H266" s="3081"/>
      <c r="I266" s="3082"/>
      <c r="J266" s="1334"/>
      <c r="K266" s="1334"/>
      <c r="L266" s="1334"/>
      <c r="M266" s="1304"/>
      <c r="N266" s="1304"/>
      <c r="S266" s="1216"/>
      <c r="T266" s="1216"/>
      <c r="U266" s="1216"/>
      <c r="V266" s="1197"/>
      <c r="W266" s="1216"/>
      <c r="X266" s="1216"/>
      <c r="Y266" s="1216"/>
      <c r="Z266" s="1216"/>
      <c r="AA266" s="1216"/>
    </row>
    <row r="267" spans="2:27" s="1217" customFormat="1" ht="21" customHeight="1" x14ac:dyDescent="0.2">
      <c r="B267" s="1496"/>
      <c r="C267" s="1497"/>
      <c r="D267" s="1498"/>
      <c r="E267" s="1499" t="s">
        <v>895</v>
      </c>
      <c r="F267" s="1398">
        <f>SUM(F261:F266)</f>
        <v>0</v>
      </c>
      <c r="G267" s="1398">
        <f>SUM(G261:G266)</f>
        <v>0</v>
      </c>
      <c r="H267" s="1500"/>
      <c r="I267" s="1501"/>
      <c r="J267" s="1502"/>
      <c r="K267" s="1502"/>
      <c r="L267" s="1502"/>
      <c r="M267" s="1304"/>
      <c r="N267" s="1304"/>
      <c r="S267" s="1216"/>
      <c r="T267" s="1216"/>
      <c r="U267" s="1216"/>
      <c r="V267" s="1197"/>
      <c r="W267" s="1216"/>
      <c r="X267" s="1216"/>
      <c r="Y267" s="1216"/>
      <c r="Z267" s="1216"/>
      <c r="AA267" s="1216"/>
    </row>
  </sheetData>
  <sheetProtection password="DC56" sheet="1" objects="1" scenarios="1" formatCells="0" formatColumns="0" formatRows="0" insertColumns="0" insertRows="0" insertHyperlinks="0"/>
  <dataConsolidate/>
  <mergeCells count="502">
    <mergeCell ref="L105:N105"/>
    <mergeCell ref="L104:N104"/>
    <mergeCell ref="K92:L92"/>
    <mergeCell ref="J83:P83"/>
    <mergeCell ref="D63:D64"/>
    <mergeCell ref="D72:D73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3:P43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P205:R205"/>
    <mergeCell ref="C247:D247"/>
    <mergeCell ref="J247:K247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C251:D251"/>
    <mergeCell ref="J251:K251"/>
    <mergeCell ref="C252:D252"/>
    <mergeCell ref="J252:K252"/>
    <mergeCell ref="C249:D249"/>
    <mergeCell ref="J249:K249"/>
    <mergeCell ref="C250:D250"/>
    <mergeCell ref="J250:K250"/>
    <mergeCell ref="L252:N252"/>
    <mergeCell ref="L251:N251"/>
    <mergeCell ref="L250:N250"/>
    <mergeCell ref="L249:N249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36:N236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M48:P48"/>
    <mergeCell ref="M38:P38"/>
    <mergeCell ref="M39:P39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4:P44"/>
    <mergeCell ref="M45:P45"/>
    <mergeCell ref="M46:P46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</mergeCells>
  <dataValidations count="14">
    <dataValidation type="list" allowBlank="1" showInputMessage="1" showErrorMessage="1" sqref="J154:K174 J181:K201">
      <formula1>WeightTypeList2</formula1>
    </dataValidation>
    <dataValidation type="list" allowBlank="1" showInputMessage="1" showErrorMessage="1" sqref="P100:R120 P127:R147 P154:R174 P181:R201 P235:R255">
      <formula1>CheckAuthor</formula1>
    </dataValidation>
    <dataValidation type="list" allowBlank="1" showInputMessage="1" showErrorMessage="1" sqref="J100:K120">
      <formula1>WeightTypeList</formula1>
    </dataValidation>
    <dataValidation type="list" allowBlank="1" showInputMessage="1" showErrorMessage="1" promptTitle="ประเภทผลงาน" prompt="กรุณาเลือก" sqref="E235:E255">
      <formula1>PatentList</formula1>
    </dataValidation>
    <dataValidation type="list" allowBlank="1" showInputMessage="1" showErrorMessage="1" sqref="E127 E138:E147">
      <formula1>WorkTypeList</formula1>
    </dataValidation>
    <dataValidation type="list" allowBlank="1" showInputMessage="1" showErrorMessage="1" promptTitle="ประเภทผลงาน" prompt="กรุณาเลือก" sqref="E128:E137">
      <formula1>WorkTypeList</formula1>
    </dataValidation>
    <dataValidation type="list" allowBlank="1" showInputMessage="1" showErrorMessage="1" sqref="F100:F120 F127:F147 F154:F174 F181:F201 F235:F255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489:F65498 JB65489:JB65498 SX65489:SX65498 ACT65489:ACT65498 AMP65489:AMP65498 AWL65489:AWL65498 BGH65489:BGH65498 BQD65489:BQD65498 BZZ65489:BZZ65498 CJV65489:CJV65498 CTR65489:CTR65498 DDN65489:DDN65498 DNJ65489:DNJ65498 DXF65489:DXF65498 EHB65489:EHB65498 EQX65489:EQX65498 FAT65489:FAT65498 FKP65489:FKP65498 FUL65489:FUL65498 GEH65489:GEH65498 GOD65489:GOD65498 GXZ65489:GXZ65498 HHV65489:HHV65498 HRR65489:HRR65498 IBN65489:IBN65498 ILJ65489:ILJ65498 IVF65489:IVF65498 JFB65489:JFB65498 JOX65489:JOX65498 JYT65489:JYT65498 KIP65489:KIP65498 KSL65489:KSL65498 LCH65489:LCH65498 LMD65489:LMD65498 LVZ65489:LVZ65498 MFV65489:MFV65498 MPR65489:MPR65498 MZN65489:MZN65498 NJJ65489:NJJ65498 NTF65489:NTF65498 ODB65489:ODB65498 OMX65489:OMX65498 OWT65489:OWT65498 PGP65489:PGP65498 PQL65489:PQL65498 QAH65489:QAH65498 QKD65489:QKD65498 QTZ65489:QTZ65498 RDV65489:RDV65498 RNR65489:RNR65498 RXN65489:RXN65498 SHJ65489:SHJ65498 SRF65489:SRF65498 TBB65489:TBB65498 TKX65489:TKX65498 TUT65489:TUT65498 UEP65489:UEP65498 UOL65489:UOL65498 UYH65489:UYH65498 VID65489:VID65498 VRZ65489:VRZ65498 WBV65489:WBV65498 WLR65489:WLR65498 WVN65489:WVN65498 F131025:F131034 JB131025:JB131034 SX131025:SX131034 ACT131025:ACT131034 AMP131025:AMP131034 AWL131025:AWL131034 BGH131025:BGH131034 BQD131025:BQD131034 BZZ131025:BZZ131034 CJV131025:CJV131034 CTR131025:CTR131034 DDN131025:DDN131034 DNJ131025:DNJ131034 DXF131025:DXF131034 EHB131025:EHB131034 EQX131025:EQX131034 FAT131025:FAT131034 FKP131025:FKP131034 FUL131025:FUL131034 GEH131025:GEH131034 GOD131025:GOD131034 GXZ131025:GXZ131034 HHV131025:HHV131034 HRR131025:HRR131034 IBN131025:IBN131034 ILJ131025:ILJ131034 IVF131025:IVF131034 JFB131025:JFB131034 JOX131025:JOX131034 JYT131025:JYT131034 KIP131025:KIP131034 KSL131025:KSL131034 LCH131025:LCH131034 LMD131025:LMD131034 LVZ131025:LVZ131034 MFV131025:MFV131034 MPR131025:MPR131034 MZN131025:MZN131034 NJJ131025:NJJ131034 NTF131025:NTF131034 ODB131025:ODB131034 OMX131025:OMX131034 OWT131025:OWT131034 PGP131025:PGP131034 PQL131025:PQL131034 QAH131025:QAH131034 QKD131025:QKD131034 QTZ131025:QTZ131034 RDV131025:RDV131034 RNR131025:RNR131034 RXN131025:RXN131034 SHJ131025:SHJ131034 SRF131025:SRF131034 TBB131025:TBB131034 TKX131025:TKX131034 TUT131025:TUT131034 UEP131025:UEP131034 UOL131025:UOL131034 UYH131025:UYH131034 VID131025:VID131034 VRZ131025:VRZ131034 WBV131025:WBV131034 WLR131025:WLR131034 WVN131025:WVN131034 F196561:F196570 JB196561:JB196570 SX196561:SX196570 ACT196561:ACT196570 AMP196561:AMP196570 AWL196561:AWL196570 BGH196561:BGH196570 BQD196561:BQD196570 BZZ196561:BZZ196570 CJV196561:CJV196570 CTR196561:CTR196570 DDN196561:DDN196570 DNJ196561:DNJ196570 DXF196561:DXF196570 EHB196561:EHB196570 EQX196561:EQX196570 FAT196561:FAT196570 FKP196561:FKP196570 FUL196561:FUL196570 GEH196561:GEH196570 GOD196561:GOD196570 GXZ196561:GXZ196570 HHV196561:HHV196570 HRR196561:HRR196570 IBN196561:IBN196570 ILJ196561:ILJ196570 IVF196561:IVF196570 JFB196561:JFB196570 JOX196561:JOX196570 JYT196561:JYT196570 KIP196561:KIP196570 KSL196561:KSL196570 LCH196561:LCH196570 LMD196561:LMD196570 LVZ196561:LVZ196570 MFV196561:MFV196570 MPR196561:MPR196570 MZN196561:MZN196570 NJJ196561:NJJ196570 NTF196561:NTF196570 ODB196561:ODB196570 OMX196561:OMX196570 OWT196561:OWT196570 PGP196561:PGP196570 PQL196561:PQL196570 QAH196561:QAH196570 QKD196561:QKD196570 QTZ196561:QTZ196570 RDV196561:RDV196570 RNR196561:RNR196570 RXN196561:RXN196570 SHJ196561:SHJ196570 SRF196561:SRF196570 TBB196561:TBB196570 TKX196561:TKX196570 TUT196561:TUT196570 UEP196561:UEP196570 UOL196561:UOL196570 UYH196561:UYH196570 VID196561:VID196570 VRZ196561:VRZ196570 WBV196561:WBV196570 WLR196561:WLR196570 WVN196561:WVN196570 F262097:F262106 JB262097:JB262106 SX262097:SX262106 ACT262097:ACT262106 AMP262097:AMP262106 AWL262097:AWL262106 BGH262097:BGH262106 BQD262097:BQD262106 BZZ262097:BZZ262106 CJV262097:CJV262106 CTR262097:CTR262106 DDN262097:DDN262106 DNJ262097:DNJ262106 DXF262097:DXF262106 EHB262097:EHB262106 EQX262097:EQX262106 FAT262097:FAT262106 FKP262097:FKP262106 FUL262097:FUL262106 GEH262097:GEH262106 GOD262097:GOD262106 GXZ262097:GXZ262106 HHV262097:HHV262106 HRR262097:HRR262106 IBN262097:IBN262106 ILJ262097:ILJ262106 IVF262097:IVF262106 JFB262097:JFB262106 JOX262097:JOX262106 JYT262097:JYT262106 KIP262097:KIP262106 KSL262097:KSL262106 LCH262097:LCH262106 LMD262097:LMD262106 LVZ262097:LVZ262106 MFV262097:MFV262106 MPR262097:MPR262106 MZN262097:MZN262106 NJJ262097:NJJ262106 NTF262097:NTF262106 ODB262097:ODB262106 OMX262097:OMX262106 OWT262097:OWT262106 PGP262097:PGP262106 PQL262097:PQL262106 QAH262097:QAH262106 QKD262097:QKD262106 QTZ262097:QTZ262106 RDV262097:RDV262106 RNR262097:RNR262106 RXN262097:RXN262106 SHJ262097:SHJ262106 SRF262097:SRF262106 TBB262097:TBB262106 TKX262097:TKX262106 TUT262097:TUT262106 UEP262097:UEP262106 UOL262097:UOL262106 UYH262097:UYH262106 VID262097:VID262106 VRZ262097:VRZ262106 WBV262097:WBV262106 WLR262097:WLR262106 WVN262097:WVN262106 F327633:F327642 JB327633:JB327642 SX327633:SX327642 ACT327633:ACT327642 AMP327633:AMP327642 AWL327633:AWL327642 BGH327633:BGH327642 BQD327633:BQD327642 BZZ327633:BZZ327642 CJV327633:CJV327642 CTR327633:CTR327642 DDN327633:DDN327642 DNJ327633:DNJ327642 DXF327633:DXF327642 EHB327633:EHB327642 EQX327633:EQX327642 FAT327633:FAT327642 FKP327633:FKP327642 FUL327633:FUL327642 GEH327633:GEH327642 GOD327633:GOD327642 GXZ327633:GXZ327642 HHV327633:HHV327642 HRR327633:HRR327642 IBN327633:IBN327642 ILJ327633:ILJ327642 IVF327633:IVF327642 JFB327633:JFB327642 JOX327633:JOX327642 JYT327633:JYT327642 KIP327633:KIP327642 KSL327633:KSL327642 LCH327633:LCH327642 LMD327633:LMD327642 LVZ327633:LVZ327642 MFV327633:MFV327642 MPR327633:MPR327642 MZN327633:MZN327642 NJJ327633:NJJ327642 NTF327633:NTF327642 ODB327633:ODB327642 OMX327633:OMX327642 OWT327633:OWT327642 PGP327633:PGP327642 PQL327633:PQL327642 QAH327633:QAH327642 QKD327633:QKD327642 QTZ327633:QTZ327642 RDV327633:RDV327642 RNR327633:RNR327642 RXN327633:RXN327642 SHJ327633:SHJ327642 SRF327633:SRF327642 TBB327633:TBB327642 TKX327633:TKX327642 TUT327633:TUT327642 UEP327633:UEP327642 UOL327633:UOL327642 UYH327633:UYH327642 VID327633:VID327642 VRZ327633:VRZ327642 WBV327633:WBV327642 WLR327633:WLR327642 WVN327633:WVN327642 F393169:F393178 JB393169:JB393178 SX393169:SX393178 ACT393169:ACT393178 AMP393169:AMP393178 AWL393169:AWL393178 BGH393169:BGH393178 BQD393169:BQD393178 BZZ393169:BZZ393178 CJV393169:CJV393178 CTR393169:CTR393178 DDN393169:DDN393178 DNJ393169:DNJ393178 DXF393169:DXF393178 EHB393169:EHB393178 EQX393169:EQX393178 FAT393169:FAT393178 FKP393169:FKP393178 FUL393169:FUL393178 GEH393169:GEH393178 GOD393169:GOD393178 GXZ393169:GXZ393178 HHV393169:HHV393178 HRR393169:HRR393178 IBN393169:IBN393178 ILJ393169:ILJ393178 IVF393169:IVF393178 JFB393169:JFB393178 JOX393169:JOX393178 JYT393169:JYT393178 KIP393169:KIP393178 KSL393169:KSL393178 LCH393169:LCH393178 LMD393169:LMD393178 LVZ393169:LVZ393178 MFV393169:MFV393178 MPR393169:MPR393178 MZN393169:MZN393178 NJJ393169:NJJ393178 NTF393169:NTF393178 ODB393169:ODB393178 OMX393169:OMX393178 OWT393169:OWT393178 PGP393169:PGP393178 PQL393169:PQL393178 QAH393169:QAH393178 QKD393169:QKD393178 QTZ393169:QTZ393178 RDV393169:RDV393178 RNR393169:RNR393178 RXN393169:RXN393178 SHJ393169:SHJ393178 SRF393169:SRF393178 TBB393169:TBB393178 TKX393169:TKX393178 TUT393169:TUT393178 UEP393169:UEP393178 UOL393169:UOL393178 UYH393169:UYH393178 VID393169:VID393178 VRZ393169:VRZ393178 WBV393169:WBV393178 WLR393169:WLR393178 WVN393169:WVN393178 F458705:F458714 JB458705:JB458714 SX458705:SX458714 ACT458705:ACT458714 AMP458705:AMP458714 AWL458705:AWL458714 BGH458705:BGH458714 BQD458705:BQD458714 BZZ458705:BZZ458714 CJV458705:CJV458714 CTR458705:CTR458714 DDN458705:DDN458714 DNJ458705:DNJ458714 DXF458705:DXF458714 EHB458705:EHB458714 EQX458705:EQX458714 FAT458705:FAT458714 FKP458705:FKP458714 FUL458705:FUL458714 GEH458705:GEH458714 GOD458705:GOD458714 GXZ458705:GXZ458714 HHV458705:HHV458714 HRR458705:HRR458714 IBN458705:IBN458714 ILJ458705:ILJ458714 IVF458705:IVF458714 JFB458705:JFB458714 JOX458705:JOX458714 JYT458705:JYT458714 KIP458705:KIP458714 KSL458705:KSL458714 LCH458705:LCH458714 LMD458705:LMD458714 LVZ458705:LVZ458714 MFV458705:MFV458714 MPR458705:MPR458714 MZN458705:MZN458714 NJJ458705:NJJ458714 NTF458705:NTF458714 ODB458705:ODB458714 OMX458705:OMX458714 OWT458705:OWT458714 PGP458705:PGP458714 PQL458705:PQL458714 QAH458705:QAH458714 QKD458705:QKD458714 QTZ458705:QTZ458714 RDV458705:RDV458714 RNR458705:RNR458714 RXN458705:RXN458714 SHJ458705:SHJ458714 SRF458705:SRF458714 TBB458705:TBB458714 TKX458705:TKX458714 TUT458705:TUT458714 UEP458705:UEP458714 UOL458705:UOL458714 UYH458705:UYH458714 VID458705:VID458714 VRZ458705:VRZ458714 WBV458705:WBV458714 WLR458705:WLR458714 WVN458705:WVN458714 F524241:F524250 JB524241:JB524250 SX524241:SX524250 ACT524241:ACT524250 AMP524241:AMP524250 AWL524241:AWL524250 BGH524241:BGH524250 BQD524241:BQD524250 BZZ524241:BZZ524250 CJV524241:CJV524250 CTR524241:CTR524250 DDN524241:DDN524250 DNJ524241:DNJ524250 DXF524241:DXF524250 EHB524241:EHB524250 EQX524241:EQX524250 FAT524241:FAT524250 FKP524241:FKP524250 FUL524241:FUL524250 GEH524241:GEH524250 GOD524241:GOD524250 GXZ524241:GXZ524250 HHV524241:HHV524250 HRR524241:HRR524250 IBN524241:IBN524250 ILJ524241:ILJ524250 IVF524241:IVF524250 JFB524241:JFB524250 JOX524241:JOX524250 JYT524241:JYT524250 KIP524241:KIP524250 KSL524241:KSL524250 LCH524241:LCH524250 LMD524241:LMD524250 LVZ524241:LVZ524250 MFV524241:MFV524250 MPR524241:MPR524250 MZN524241:MZN524250 NJJ524241:NJJ524250 NTF524241:NTF524250 ODB524241:ODB524250 OMX524241:OMX524250 OWT524241:OWT524250 PGP524241:PGP524250 PQL524241:PQL524250 QAH524241:QAH524250 QKD524241:QKD524250 QTZ524241:QTZ524250 RDV524241:RDV524250 RNR524241:RNR524250 RXN524241:RXN524250 SHJ524241:SHJ524250 SRF524241:SRF524250 TBB524241:TBB524250 TKX524241:TKX524250 TUT524241:TUT524250 UEP524241:UEP524250 UOL524241:UOL524250 UYH524241:UYH524250 VID524241:VID524250 VRZ524241:VRZ524250 WBV524241:WBV524250 WLR524241:WLR524250 WVN524241:WVN524250 F589777:F589786 JB589777:JB589786 SX589777:SX589786 ACT589777:ACT589786 AMP589777:AMP589786 AWL589777:AWL589786 BGH589777:BGH589786 BQD589777:BQD589786 BZZ589777:BZZ589786 CJV589777:CJV589786 CTR589777:CTR589786 DDN589777:DDN589786 DNJ589777:DNJ589786 DXF589777:DXF589786 EHB589777:EHB589786 EQX589777:EQX589786 FAT589777:FAT589786 FKP589777:FKP589786 FUL589777:FUL589786 GEH589777:GEH589786 GOD589777:GOD589786 GXZ589777:GXZ589786 HHV589777:HHV589786 HRR589777:HRR589786 IBN589777:IBN589786 ILJ589777:ILJ589786 IVF589777:IVF589786 JFB589777:JFB589786 JOX589777:JOX589786 JYT589777:JYT589786 KIP589777:KIP589786 KSL589777:KSL589786 LCH589777:LCH589786 LMD589777:LMD589786 LVZ589777:LVZ589786 MFV589777:MFV589786 MPR589777:MPR589786 MZN589777:MZN589786 NJJ589777:NJJ589786 NTF589777:NTF589786 ODB589777:ODB589786 OMX589777:OMX589786 OWT589777:OWT589786 PGP589777:PGP589786 PQL589777:PQL589786 QAH589777:QAH589786 QKD589777:QKD589786 QTZ589777:QTZ589786 RDV589777:RDV589786 RNR589777:RNR589786 RXN589777:RXN589786 SHJ589777:SHJ589786 SRF589777:SRF589786 TBB589777:TBB589786 TKX589777:TKX589786 TUT589777:TUT589786 UEP589777:UEP589786 UOL589777:UOL589786 UYH589777:UYH589786 VID589777:VID589786 VRZ589777:VRZ589786 WBV589777:WBV589786 WLR589777:WLR589786 WVN589777:WVN589786 F655313:F655322 JB655313:JB655322 SX655313:SX655322 ACT655313:ACT655322 AMP655313:AMP655322 AWL655313:AWL655322 BGH655313:BGH655322 BQD655313:BQD655322 BZZ655313:BZZ655322 CJV655313:CJV655322 CTR655313:CTR655322 DDN655313:DDN655322 DNJ655313:DNJ655322 DXF655313:DXF655322 EHB655313:EHB655322 EQX655313:EQX655322 FAT655313:FAT655322 FKP655313:FKP655322 FUL655313:FUL655322 GEH655313:GEH655322 GOD655313:GOD655322 GXZ655313:GXZ655322 HHV655313:HHV655322 HRR655313:HRR655322 IBN655313:IBN655322 ILJ655313:ILJ655322 IVF655313:IVF655322 JFB655313:JFB655322 JOX655313:JOX655322 JYT655313:JYT655322 KIP655313:KIP655322 KSL655313:KSL655322 LCH655313:LCH655322 LMD655313:LMD655322 LVZ655313:LVZ655322 MFV655313:MFV655322 MPR655313:MPR655322 MZN655313:MZN655322 NJJ655313:NJJ655322 NTF655313:NTF655322 ODB655313:ODB655322 OMX655313:OMX655322 OWT655313:OWT655322 PGP655313:PGP655322 PQL655313:PQL655322 QAH655313:QAH655322 QKD655313:QKD655322 QTZ655313:QTZ655322 RDV655313:RDV655322 RNR655313:RNR655322 RXN655313:RXN655322 SHJ655313:SHJ655322 SRF655313:SRF655322 TBB655313:TBB655322 TKX655313:TKX655322 TUT655313:TUT655322 UEP655313:UEP655322 UOL655313:UOL655322 UYH655313:UYH655322 VID655313:VID655322 VRZ655313:VRZ655322 WBV655313:WBV655322 WLR655313:WLR655322 WVN655313:WVN655322 F720849:F720858 JB720849:JB720858 SX720849:SX720858 ACT720849:ACT720858 AMP720849:AMP720858 AWL720849:AWL720858 BGH720849:BGH720858 BQD720849:BQD720858 BZZ720849:BZZ720858 CJV720849:CJV720858 CTR720849:CTR720858 DDN720849:DDN720858 DNJ720849:DNJ720858 DXF720849:DXF720858 EHB720849:EHB720858 EQX720849:EQX720858 FAT720849:FAT720858 FKP720849:FKP720858 FUL720849:FUL720858 GEH720849:GEH720858 GOD720849:GOD720858 GXZ720849:GXZ720858 HHV720849:HHV720858 HRR720849:HRR720858 IBN720849:IBN720858 ILJ720849:ILJ720858 IVF720849:IVF720858 JFB720849:JFB720858 JOX720849:JOX720858 JYT720849:JYT720858 KIP720849:KIP720858 KSL720849:KSL720858 LCH720849:LCH720858 LMD720849:LMD720858 LVZ720849:LVZ720858 MFV720849:MFV720858 MPR720849:MPR720858 MZN720849:MZN720858 NJJ720849:NJJ720858 NTF720849:NTF720858 ODB720849:ODB720858 OMX720849:OMX720858 OWT720849:OWT720858 PGP720849:PGP720858 PQL720849:PQL720858 QAH720849:QAH720858 QKD720849:QKD720858 QTZ720849:QTZ720858 RDV720849:RDV720858 RNR720849:RNR720858 RXN720849:RXN720858 SHJ720849:SHJ720858 SRF720849:SRF720858 TBB720849:TBB720858 TKX720849:TKX720858 TUT720849:TUT720858 UEP720849:UEP720858 UOL720849:UOL720858 UYH720849:UYH720858 VID720849:VID720858 VRZ720849:VRZ720858 WBV720849:WBV720858 WLR720849:WLR720858 WVN720849:WVN720858 F786385:F786394 JB786385:JB786394 SX786385:SX786394 ACT786385:ACT786394 AMP786385:AMP786394 AWL786385:AWL786394 BGH786385:BGH786394 BQD786385:BQD786394 BZZ786385:BZZ786394 CJV786385:CJV786394 CTR786385:CTR786394 DDN786385:DDN786394 DNJ786385:DNJ786394 DXF786385:DXF786394 EHB786385:EHB786394 EQX786385:EQX786394 FAT786385:FAT786394 FKP786385:FKP786394 FUL786385:FUL786394 GEH786385:GEH786394 GOD786385:GOD786394 GXZ786385:GXZ786394 HHV786385:HHV786394 HRR786385:HRR786394 IBN786385:IBN786394 ILJ786385:ILJ786394 IVF786385:IVF786394 JFB786385:JFB786394 JOX786385:JOX786394 JYT786385:JYT786394 KIP786385:KIP786394 KSL786385:KSL786394 LCH786385:LCH786394 LMD786385:LMD786394 LVZ786385:LVZ786394 MFV786385:MFV786394 MPR786385:MPR786394 MZN786385:MZN786394 NJJ786385:NJJ786394 NTF786385:NTF786394 ODB786385:ODB786394 OMX786385:OMX786394 OWT786385:OWT786394 PGP786385:PGP786394 PQL786385:PQL786394 QAH786385:QAH786394 QKD786385:QKD786394 QTZ786385:QTZ786394 RDV786385:RDV786394 RNR786385:RNR786394 RXN786385:RXN786394 SHJ786385:SHJ786394 SRF786385:SRF786394 TBB786385:TBB786394 TKX786385:TKX786394 TUT786385:TUT786394 UEP786385:UEP786394 UOL786385:UOL786394 UYH786385:UYH786394 VID786385:VID786394 VRZ786385:VRZ786394 WBV786385:WBV786394 WLR786385:WLR786394 WVN786385:WVN786394 F851921:F851930 JB851921:JB851930 SX851921:SX851930 ACT851921:ACT851930 AMP851921:AMP851930 AWL851921:AWL851930 BGH851921:BGH851930 BQD851921:BQD851930 BZZ851921:BZZ851930 CJV851921:CJV851930 CTR851921:CTR851930 DDN851921:DDN851930 DNJ851921:DNJ851930 DXF851921:DXF851930 EHB851921:EHB851930 EQX851921:EQX851930 FAT851921:FAT851930 FKP851921:FKP851930 FUL851921:FUL851930 GEH851921:GEH851930 GOD851921:GOD851930 GXZ851921:GXZ851930 HHV851921:HHV851930 HRR851921:HRR851930 IBN851921:IBN851930 ILJ851921:ILJ851930 IVF851921:IVF851930 JFB851921:JFB851930 JOX851921:JOX851930 JYT851921:JYT851930 KIP851921:KIP851930 KSL851921:KSL851930 LCH851921:LCH851930 LMD851921:LMD851930 LVZ851921:LVZ851930 MFV851921:MFV851930 MPR851921:MPR851930 MZN851921:MZN851930 NJJ851921:NJJ851930 NTF851921:NTF851930 ODB851921:ODB851930 OMX851921:OMX851930 OWT851921:OWT851930 PGP851921:PGP851930 PQL851921:PQL851930 QAH851921:QAH851930 QKD851921:QKD851930 QTZ851921:QTZ851930 RDV851921:RDV851930 RNR851921:RNR851930 RXN851921:RXN851930 SHJ851921:SHJ851930 SRF851921:SRF851930 TBB851921:TBB851930 TKX851921:TKX851930 TUT851921:TUT851930 UEP851921:UEP851930 UOL851921:UOL851930 UYH851921:UYH851930 VID851921:VID851930 VRZ851921:VRZ851930 WBV851921:WBV851930 WLR851921:WLR851930 WVN851921:WVN851930 F917457:F917466 JB917457:JB917466 SX917457:SX917466 ACT917457:ACT917466 AMP917457:AMP917466 AWL917457:AWL917466 BGH917457:BGH917466 BQD917457:BQD917466 BZZ917457:BZZ917466 CJV917457:CJV917466 CTR917457:CTR917466 DDN917457:DDN917466 DNJ917457:DNJ917466 DXF917457:DXF917466 EHB917457:EHB917466 EQX917457:EQX917466 FAT917457:FAT917466 FKP917457:FKP917466 FUL917457:FUL917466 GEH917457:GEH917466 GOD917457:GOD917466 GXZ917457:GXZ917466 HHV917457:HHV917466 HRR917457:HRR917466 IBN917457:IBN917466 ILJ917457:ILJ917466 IVF917457:IVF917466 JFB917457:JFB917466 JOX917457:JOX917466 JYT917457:JYT917466 KIP917457:KIP917466 KSL917457:KSL917466 LCH917457:LCH917466 LMD917457:LMD917466 LVZ917457:LVZ917466 MFV917457:MFV917466 MPR917457:MPR917466 MZN917457:MZN917466 NJJ917457:NJJ917466 NTF917457:NTF917466 ODB917457:ODB917466 OMX917457:OMX917466 OWT917457:OWT917466 PGP917457:PGP917466 PQL917457:PQL917466 QAH917457:QAH917466 QKD917457:QKD917466 QTZ917457:QTZ917466 RDV917457:RDV917466 RNR917457:RNR917466 RXN917457:RXN917466 SHJ917457:SHJ917466 SRF917457:SRF917466 TBB917457:TBB917466 TKX917457:TKX917466 TUT917457:TUT917466 UEP917457:UEP917466 UOL917457:UOL917466 UYH917457:UYH917466 VID917457:VID917466 VRZ917457:VRZ917466 WBV917457:WBV917466 WLR917457:WLR917466 WVN917457:WVN917466 F982993:F983002 JB982993:JB983002 SX982993:SX983002 ACT982993:ACT983002 AMP982993:AMP983002 AWL982993:AWL983002 BGH982993:BGH983002 BQD982993:BQD983002 BZZ982993:BZZ983002 CJV982993:CJV983002 CTR982993:CTR983002 DDN982993:DDN983002 DNJ982993:DNJ983002 DXF982993:DXF983002 EHB982993:EHB983002 EQX982993:EQX983002 FAT982993:FAT983002 FKP982993:FKP983002 FUL982993:FUL983002 GEH982993:GEH983002 GOD982993:GOD983002 GXZ982993:GXZ983002 HHV982993:HHV983002 HRR982993:HRR983002 IBN982993:IBN983002 ILJ982993:ILJ983002 IVF982993:IVF983002 JFB982993:JFB983002 JOX982993:JOX983002 JYT982993:JYT983002 KIP982993:KIP983002 KSL982993:KSL983002 LCH982993:LCH983002 LMD982993:LMD983002 LVZ982993:LVZ983002 MFV982993:MFV983002 MPR982993:MPR983002 MZN982993:MZN983002 NJJ982993:NJJ983002 NTF982993:NTF983002 ODB982993:ODB983002 OMX982993:OMX983002 OWT982993:OWT983002 PGP982993:PGP983002 PQL982993:PQL983002 QAH982993:QAH983002 QKD982993:QKD983002 QTZ982993:QTZ983002 RDV982993:RDV983002 RNR982993:RNR983002 RXN982993:RXN983002 SHJ982993:SHJ983002 SRF982993:SRF983002 TBB982993:TBB983002 TKX982993:TKX983002 TUT982993:TUT983002 UEP982993:UEP983002 UOL982993:UOL983002 UYH982993:UYH983002 VID982993:VID983002 VRZ982993:VRZ983002 WBV982993:WBV983002 WLR982993:WLR983002 WVN982993:WVN983002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471:F65484 JB65471:JB65484 SX65471:SX65484 ACT65471:ACT65484 AMP65471:AMP65484 AWL65471:AWL65484 BGH65471:BGH65484 BQD65471:BQD65484 BZZ65471:BZZ65484 CJV65471:CJV65484 CTR65471:CTR65484 DDN65471:DDN65484 DNJ65471:DNJ65484 DXF65471:DXF65484 EHB65471:EHB65484 EQX65471:EQX65484 FAT65471:FAT65484 FKP65471:FKP65484 FUL65471:FUL65484 GEH65471:GEH65484 GOD65471:GOD65484 GXZ65471:GXZ65484 HHV65471:HHV65484 HRR65471:HRR65484 IBN65471:IBN65484 ILJ65471:ILJ65484 IVF65471:IVF65484 JFB65471:JFB65484 JOX65471:JOX65484 JYT65471:JYT65484 KIP65471:KIP65484 KSL65471:KSL65484 LCH65471:LCH65484 LMD65471:LMD65484 LVZ65471:LVZ65484 MFV65471:MFV65484 MPR65471:MPR65484 MZN65471:MZN65484 NJJ65471:NJJ65484 NTF65471:NTF65484 ODB65471:ODB65484 OMX65471:OMX65484 OWT65471:OWT65484 PGP65471:PGP65484 PQL65471:PQL65484 QAH65471:QAH65484 QKD65471:QKD65484 QTZ65471:QTZ65484 RDV65471:RDV65484 RNR65471:RNR65484 RXN65471:RXN65484 SHJ65471:SHJ65484 SRF65471:SRF65484 TBB65471:TBB65484 TKX65471:TKX65484 TUT65471:TUT65484 UEP65471:UEP65484 UOL65471:UOL65484 UYH65471:UYH65484 VID65471:VID65484 VRZ65471:VRZ65484 WBV65471:WBV65484 WLR65471:WLR65484 WVN65471:WVN65484 F131007:F131020 JB131007:JB131020 SX131007:SX131020 ACT131007:ACT131020 AMP131007:AMP131020 AWL131007:AWL131020 BGH131007:BGH131020 BQD131007:BQD131020 BZZ131007:BZZ131020 CJV131007:CJV131020 CTR131007:CTR131020 DDN131007:DDN131020 DNJ131007:DNJ131020 DXF131007:DXF131020 EHB131007:EHB131020 EQX131007:EQX131020 FAT131007:FAT131020 FKP131007:FKP131020 FUL131007:FUL131020 GEH131007:GEH131020 GOD131007:GOD131020 GXZ131007:GXZ131020 HHV131007:HHV131020 HRR131007:HRR131020 IBN131007:IBN131020 ILJ131007:ILJ131020 IVF131007:IVF131020 JFB131007:JFB131020 JOX131007:JOX131020 JYT131007:JYT131020 KIP131007:KIP131020 KSL131007:KSL131020 LCH131007:LCH131020 LMD131007:LMD131020 LVZ131007:LVZ131020 MFV131007:MFV131020 MPR131007:MPR131020 MZN131007:MZN131020 NJJ131007:NJJ131020 NTF131007:NTF131020 ODB131007:ODB131020 OMX131007:OMX131020 OWT131007:OWT131020 PGP131007:PGP131020 PQL131007:PQL131020 QAH131007:QAH131020 QKD131007:QKD131020 QTZ131007:QTZ131020 RDV131007:RDV131020 RNR131007:RNR131020 RXN131007:RXN131020 SHJ131007:SHJ131020 SRF131007:SRF131020 TBB131007:TBB131020 TKX131007:TKX131020 TUT131007:TUT131020 UEP131007:UEP131020 UOL131007:UOL131020 UYH131007:UYH131020 VID131007:VID131020 VRZ131007:VRZ131020 WBV131007:WBV131020 WLR131007:WLR131020 WVN131007:WVN131020 F196543:F196556 JB196543:JB196556 SX196543:SX196556 ACT196543:ACT196556 AMP196543:AMP196556 AWL196543:AWL196556 BGH196543:BGH196556 BQD196543:BQD196556 BZZ196543:BZZ196556 CJV196543:CJV196556 CTR196543:CTR196556 DDN196543:DDN196556 DNJ196543:DNJ196556 DXF196543:DXF196556 EHB196543:EHB196556 EQX196543:EQX196556 FAT196543:FAT196556 FKP196543:FKP196556 FUL196543:FUL196556 GEH196543:GEH196556 GOD196543:GOD196556 GXZ196543:GXZ196556 HHV196543:HHV196556 HRR196543:HRR196556 IBN196543:IBN196556 ILJ196543:ILJ196556 IVF196543:IVF196556 JFB196543:JFB196556 JOX196543:JOX196556 JYT196543:JYT196556 KIP196543:KIP196556 KSL196543:KSL196556 LCH196543:LCH196556 LMD196543:LMD196556 LVZ196543:LVZ196556 MFV196543:MFV196556 MPR196543:MPR196556 MZN196543:MZN196556 NJJ196543:NJJ196556 NTF196543:NTF196556 ODB196543:ODB196556 OMX196543:OMX196556 OWT196543:OWT196556 PGP196543:PGP196556 PQL196543:PQL196556 QAH196543:QAH196556 QKD196543:QKD196556 QTZ196543:QTZ196556 RDV196543:RDV196556 RNR196543:RNR196556 RXN196543:RXN196556 SHJ196543:SHJ196556 SRF196543:SRF196556 TBB196543:TBB196556 TKX196543:TKX196556 TUT196543:TUT196556 UEP196543:UEP196556 UOL196543:UOL196556 UYH196543:UYH196556 VID196543:VID196556 VRZ196543:VRZ196556 WBV196543:WBV196556 WLR196543:WLR196556 WVN196543:WVN196556 F262079:F262092 JB262079:JB262092 SX262079:SX262092 ACT262079:ACT262092 AMP262079:AMP262092 AWL262079:AWL262092 BGH262079:BGH262092 BQD262079:BQD262092 BZZ262079:BZZ262092 CJV262079:CJV262092 CTR262079:CTR262092 DDN262079:DDN262092 DNJ262079:DNJ262092 DXF262079:DXF262092 EHB262079:EHB262092 EQX262079:EQX262092 FAT262079:FAT262092 FKP262079:FKP262092 FUL262079:FUL262092 GEH262079:GEH262092 GOD262079:GOD262092 GXZ262079:GXZ262092 HHV262079:HHV262092 HRR262079:HRR262092 IBN262079:IBN262092 ILJ262079:ILJ262092 IVF262079:IVF262092 JFB262079:JFB262092 JOX262079:JOX262092 JYT262079:JYT262092 KIP262079:KIP262092 KSL262079:KSL262092 LCH262079:LCH262092 LMD262079:LMD262092 LVZ262079:LVZ262092 MFV262079:MFV262092 MPR262079:MPR262092 MZN262079:MZN262092 NJJ262079:NJJ262092 NTF262079:NTF262092 ODB262079:ODB262092 OMX262079:OMX262092 OWT262079:OWT262092 PGP262079:PGP262092 PQL262079:PQL262092 QAH262079:QAH262092 QKD262079:QKD262092 QTZ262079:QTZ262092 RDV262079:RDV262092 RNR262079:RNR262092 RXN262079:RXN262092 SHJ262079:SHJ262092 SRF262079:SRF262092 TBB262079:TBB262092 TKX262079:TKX262092 TUT262079:TUT262092 UEP262079:UEP262092 UOL262079:UOL262092 UYH262079:UYH262092 VID262079:VID262092 VRZ262079:VRZ262092 WBV262079:WBV262092 WLR262079:WLR262092 WVN262079:WVN262092 F327615:F327628 JB327615:JB327628 SX327615:SX327628 ACT327615:ACT327628 AMP327615:AMP327628 AWL327615:AWL327628 BGH327615:BGH327628 BQD327615:BQD327628 BZZ327615:BZZ327628 CJV327615:CJV327628 CTR327615:CTR327628 DDN327615:DDN327628 DNJ327615:DNJ327628 DXF327615:DXF327628 EHB327615:EHB327628 EQX327615:EQX327628 FAT327615:FAT327628 FKP327615:FKP327628 FUL327615:FUL327628 GEH327615:GEH327628 GOD327615:GOD327628 GXZ327615:GXZ327628 HHV327615:HHV327628 HRR327615:HRR327628 IBN327615:IBN327628 ILJ327615:ILJ327628 IVF327615:IVF327628 JFB327615:JFB327628 JOX327615:JOX327628 JYT327615:JYT327628 KIP327615:KIP327628 KSL327615:KSL327628 LCH327615:LCH327628 LMD327615:LMD327628 LVZ327615:LVZ327628 MFV327615:MFV327628 MPR327615:MPR327628 MZN327615:MZN327628 NJJ327615:NJJ327628 NTF327615:NTF327628 ODB327615:ODB327628 OMX327615:OMX327628 OWT327615:OWT327628 PGP327615:PGP327628 PQL327615:PQL327628 QAH327615:QAH327628 QKD327615:QKD327628 QTZ327615:QTZ327628 RDV327615:RDV327628 RNR327615:RNR327628 RXN327615:RXN327628 SHJ327615:SHJ327628 SRF327615:SRF327628 TBB327615:TBB327628 TKX327615:TKX327628 TUT327615:TUT327628 UEP327615:UEP327628 UOL327615:UOL327628 UYH327615:UYH327628 VID327615:VID327628 VRZ327615:VRZ327628 WBV327615:WBV327628 WLR327615:WLR327628 WVN327615:WVN327628 F393151:F393164 JB393151:JB393164 SX393151:SX393164 ACT393151:ACT393164 AMP393151:AMP393164 AWL393151:AWL393164 BGH393151:BGH393164 BQD393151:BQD393164 BZZ393151:BZZ393164 CJV393151:CJV393164 CTR393151:CTR393164 DDN393151:DDN393164 DNJ393151:DNJ393164 DXF393151:DXF393164 EHB393151:EHB393164 EQX393151:EQX393164 FAT393151:FAT393164 FKP393151:FKP393164 FUL393151:FUL393164 GEH393151:GEH393164 GOD393151:GOD393164 GXZ393151:GXZ393164 HHV393151:HHV393164 HRR393151:HRR393164 IBN393151:IBN393164 ILJ393151:ILJ393164 IVF393151:IVF393164 JFB393151:JFB393164 JOX393151:JOX393164 JYT393151:JYT393164 KIP393151:KIP393164 KSL393151:KSL393164 LCH393151:LCH393164 LMD393151:LMD393164 LVZ393151:LVZ393164 MFV393151:MFV393164 MPR393151:MPR393164 MZN393151:MZN393164 NJJ393151:NJJ393164 NTF393151:NTF393164 ODB393151:ODB393164 OMX393151:OMX393164 OWT393151:OWT393164 PGP393151:PGP393164 PQL393151:PQL393164 QAH393151:QAH393164 QKD393151:QKD393164 QTZ393151:QTZ393164 RDV393151:RDV393164 RNR393151:RNR393164 RXN393151:RXN393164 SHJ393151:SHJ393164 SRF393151:SRF393164 TBB393151:TBB393164 TKX393151:TKX393164 TUT393151:TUT393164 UEP393151:UEP393164 UOL393151:UOL393164 UYH393151:UYH393164 VID393151:VID393164 VRZ393151:VRZ393164 WBV393151:WBV393164 WLR393151:WLR393164 WVN393151:WVN393164 F458687:F458700 JB458687:JB458700 SX458687:SX458700 ACT458687:ACT458700 AMP458687:AMP458700 AWL458687:AWL458700 BGH458687:BGH458700 BQD458687:BQD458700 BZZ458687:BZZ458700 CJV458687:CJV458700 CTR458687:CTR458700 DDN458687:DDN458700 DNJ458687:DNJ458700 DXF458687:DXF458700 EHB458687:EHB458700 EQX458687:EQX458700 FAT458687:FAT458700 FKP458687:FKP458700 FUL458687:FUL458700 GEH458687:GEH458700 GOD458687:GOD458700 GXZ458687:GXZ458700 HHV458687:HHV458700 HRR458687:HRR458700 IBN458687:IBN458700 ILJ458687:ILJ458700 IVF458687:IVF458700 JFB458687:JFB458700 JOX458687:JOX458700 JYT458687:JYT458700 KIP458687:KIP458700 KSL458687:KSL458700 LCH458687:LCH458700 LMD458687:LMD458700 LVZ458687:LVZ458700 MFV458687:MFV458700 MPR458687:MPR458700 MZN458687:MZN458700 NJJ458687:NJJ458700 NTF458687:NTF458700 ODB458687:ODB458700 OMX458687:OMX458700 OWT458687:OWT458700 PGP458687:PGP458700 PQL458687:PQL458700 QAH458687:QAH458700 QKD458687:QKD458700 QTZ458687:QTZ458700 RDV458687:RDV458700 RNR458687:RNR458700 RXN458687:RXN458700 SHJ458687:SHJ458700 SRF458687:SRF458700 TBB458687:TBB458700 TKX458687:TKX458700 TUT458687:TUT458700 UEP458687:UEP458700 UOL458687:UOL458700 UYH458687:UYH458700 VID458687:VID458700 VRZ458687:VRZ458700 WBV458687:WBV458700 WLR458687:WLR458700 WVN458687:WVN458700 F524223:F524236 JB524223:JB524236 SX524223:SX524236 ACT524223:ACT524236 AMP524223:AMP524236 AWL524223:AWL524236 BGH524223:BGH524236 BQD524223:BQD524236 BZZ524223:BZZ524236 CJV524223:CJV524236 CTR524223:CTR524236 DDN524223:DDN524236 DNJ524223:DNJ524236 DXF524223:DXF524236 EHB524223:EHB524236 EQX524223:EQX524236 FAT524223:FAT524236 FKP524223:FKP524236 FUL524223:FUL524236 GEH524223:GEH524236 GOD524223:GOD524236 GXZ524223:GXZ524236 HHV524223:HHV524236 HRR524223:HRR524236 IBN524223:IBN524236 ILJ524223:ILJ524236 IVF524223:IVF524236 JFB524223:JFB524236 JOX524223:JOX524236 JYT524223:JYT524236 KIP524223:KIP524236 KSL524223:KSL524236 LCH524223:LCH524236 LMD524223:LMD524236 LVZ524223:LVZ524236 MFV524223:MFV524236 MPR524223:MPR524236 MZN524223:MZN524236 NJJ524223:NJJ524236 NTF524223:NTF524236 ODB524223:ODB524236 OMX524223:OMX524236 OWT524223:OWT524236 PGP524223:PGP524236 PQL524223:PQL524236 QAH524223:QAH524236 QKD524223:QKD524236 QTZ524223:QTZ524236 RDV524223:RDV524236 RNR524223:RNR524236 RXN524223:RXN524236 SHJ524223:SHJ524236 SRF524223:SRF524236 TBB524223:TBB524236 TKX524223:TKX524236 TUT524223:TUT524236 UEP524223:UEP524236 UOL524223:UOL524236 UYH524223:UYH524236 VID524223:VID524236 VRZ524223:VRZ524236 WBV524223:WBV524236 WLR524223:WLR524236 WVN524223:WVN524236 F589759:F589772 JB589759:JB589772 SX589759:SX589772 ACT589759:ACT589772 AMP589759:AMP589772 AWL589759:AWL589772 BGH589759:BGH589772 BQD589759:BQD589772 BZZ589759:BZZ589772 CJV589759:CJV589772 CTR589759:CTR589772 DDN589759:DDN589772 DNJ589759:DNJ589772 DXF589759:DXF589772 EHB589759:EHB589772 EQX589759:EQX589772 FAT589759:FAT589772 FKP589759:FKP589772 FUL589759:FUL589772 GEH589759:GEH589772 GOD589759:GOD589772 GXZ589759:GXZ589772 HHV589759:HHV589772 HRR589759:HRR589772 IBN589759:IBN589772 ILJ589759:ILJ589772 IVF589759:IVF589772 JFB589759:JFB589772 JOX589759:JOX589772 JYT589759:JYT589772 KIP589759:KIP589772 KSL589759:KSL589772 LCH589759:LCH589772 LMD589759:LMD589772 LVZ589759:LVZ589772 MFV589759:MFV589772 MPR589759:MPR589772 MZN589759:MZN589772 NJJ589759:NJJ589772 NTF589759:NTF589772 ODB589759:ODB589772 OMX589759:OMX589772 OWT589759:OWT589772 PGP589759:PGP589772 PQL589759:PQL589772 QAH589759:QAH589772 QKD589759:QKD589772 QTZ589759:QTZ589772 RDV589759:RDV589772 RNR589759:RNR589772 RXN589759:RXN589772 SHJ589759:SHJ589772 SRF589759:SRF589772 TBB589759:TBB589772 TKX589759:TKX589772 TUT589759:TUT589772 UEP589759:UEP589772 UOL589759:UOL589772 UYH589759:UYH589772 VID589759:VID589772 VRZ589759:VRZ589772 WBV589759:WBV589772 WLR589759:WLR589772 WVN589759:WVN589772 F655295:F655308 JB655295:JB655308 SX655295:SX655308 ACT655295:ACT655308 AMP655295:AMP655308 AWL655295:AWL655308 BGH655295:BGH655308 BQD655295:BQD655308 BZZ655295:BZZ655308 CJV655295:CJV655308 CTR655295:CTR655308 DDN655295:DDN655308 DNJ655295:DNJ655308 DXF655295:DXF655308 EHB655295:EHB655308 EQX655295:EQX655308 FAT655295:FAT655308 FKP655295:FKP655308 FUL655295:FUL655308 GEH655295:GEH655308 GOD655295:GOD655308 GXZ655295:GXZ655308 HHV655295:HHV655308 HRR655295:HRR655308 IBN655295:IBN655308 ILJ655295:ILJ655308 IVF655295:IVF655308 JFB655295:JFB655308 JOX655295:JOX655308 JYT655295:JYT655308 KIP655295:KIP655308 KSL655295:KSL655308 LCH655295:LCH655308 LMD655295:LMD655308 LVZ655295:LVZ655308 MFV655295:MFV655308 MPR655295:MPR655308 MZN655295:MZN655308 NJJ655295:NJJ655308 NTF655295:NTF655308 ODB655295:ODB655308 OMX655295:OMX655308 OWT655295:OWT655308 PGP655295:PGP655308 PQL655295:PQL655308 QAH655295:QAH655308 QKD655295:QKD655308 QTZ655295:QTZ655308 RDV655295:RDV655308 RNR655295:RNR655308 RXN655295:RXN655308 SHJ655295:SHJ655308 SRF655295:SRF655308 TBB655295:TBB655308 TKX655295:TKX655308 TUT655295:TUT655308 UEP655295:UEP655308 UOL655295:UOL655308 UYH655295:UYH655308 VID655295:VID655308 VRZ655295:VRZ655308 WBV655295:WBV655308 WLR655295:WLR655308 WVN655295:WVN655308 F720831:F720844 JB720831:JB720844 SX720831:SX720844 ACT720831:ACT720844 AMP720831:AMP720844 AWL720831:AWL720844 BGH720831:BGH720844 BQD720831:BQD720844 BZZ720831:BZZ720844 CJV720831:CJV720844 CTR720831:CTR720844 DDN720831:DDN720844 DNJ720831:DNJ720844 DXF720831:DXF720844 EHB720831:EHB720844 EQX720831:EQX720844 FAT720831:FAT720844 FKP720831:FKP720844 FUL720831:FUL720844 GEH720831:GEH720844 GOD720831:GOD720844 GXZ720831:GXZ720844 HHV720831:HHV720844 HRR720831:HRR720844 IBN720831:IBN720844 ILJ720831:ILJ720844 IVF720831:IVF720844 JFB720831:JFB720844 JOX720831:JOX720844 JYT720831:JYT720844 KIP720831:KIP720844 KSL720831:KSL720844 LCH720831:LCH720844 LMD720831:LMD720844 LVZ720831:LVZ720844 MFV720831:MFV720844 MPR720831:MPR720844 MZN720831:MZN720844 NJJ720831:NJJ720844 NTF720831:NTF720844 ODB720831:ODB720844 OMX720831:OMX720844 OWT720831:OWT720844 PGP720831:PGP720844 PQL720831:PQL720844 QAH720831:QAH720844 QKD720831:QKD720844 QTZ720831:QTZ720844 RDV720831:RDV720844 RNR720831:RNR720844 RXN720831:RXN720844 SHJ720831:SHJ720844 SRF720831:SRF720844 TBB720831:TBB720844 TKX720831:TKX720844 TUT720831:TUT720844 UEP720831:UEP720844 UOL720831:UOL720844 UYH720831:UYH720844 VID720831:VID720844 VRZ720831:VRZ720844 WBV720831:WBV720844 WLR720831:WLR720844 WVN720831:WVN720844 F786367:F786380 JB786367:JB786380 SX786367:SX786380 ACT786367:ACT786380 AMP786367:AMP786380 AWL786367:AWL786380 BGH786367:BGH786380 BQD786367:BQD786380 BZZ786367:BZZ786380 CJV786367:CJV786380 CTR786367:CTR786380 DDN786367:DDN786380 DNJ786367:DNJ786380 DXF786367:DXF786380 EHB786367:EHB786380 EQX786367:EQX786380 FAT786367:FAT786380 FKP786367:FKP786380 FUL786367:FUL786380 GEH786367:GEH786380 GOD786367:GOD786380 GXZ786367:GXZ786380 HHV786367:HHV786380 HRR786367:HRR786380 IBN786367:IBN786380 ILJ786367:ILJ786380 IVF786367:IVF786380 JFB786367:JFB786380 JOX786367:JOX786380 JYT786367:JYT786380 KIP786367:KIP786380 KSL786367:KSL786380 LCH786367:LCH786380 LMD786367:LMD786380 LVZ786367:LVZ786380 MFV786367:MFV786380 MPR786367:MPR786380 MZN786367:MZN786380 NJJ786367:NJJ786380 NTF786367:NTF786380 ODB786367:ODB786380 OMX786367:OMX786380 OWT786367:OWT786380 PGP786367:PGP786380 PQL786367:PQL786380 QAH786367:QAH786380 QKD786367:QKD786380 QTZ786367:QTZ786380 RDV786367:RDV786380 RNR786367:RNR786380 RXN786367:RXN786380 SHJ786367:SHJ786380 SRF786367:SRF786380 TBB786367:TBB786380 TKX786367:TKX786380 TUT786367:TUT786380 UEP786367:UEP786380 UOL786367:UOL786380 UYH786367:UYH786380 VID786367:VID786380 VRZ786367:VRZ786380 WBV786367:WBV786380 WLR786367:WLR786380 WVN786367:WVN786380 F851903:F851916 JB851903:JB851916 SX851903:SX851916 ACT851903:ACT851916 AMP851903:AMP851916 AWL851903:AWL851916 BGH851903:BGH851916 BQD851903:BQD851916 BZZ851903:BZZ851916 CJV851903:CJV851916 CTR851903:CTR851916 DDN851903:DDN851916 DNJ851903:DNJ851916 DXF851903:DXF851916 EHB851903:EHB851916 EQX851903:EQX851916 FAT851903:FAT851916 FKP851903:FKP851916 FUL851903:FUL851916 GEH851903:GEH851916 GOD851903:GOD851916 GXZ851903:GXZ851916 HHV851903:HHV851916 HRR851903:HRR851916 IBN851903:IBN851916 ILJ851903:ILJ851916 IVF851903:IVF851916 JFB851903:JFB851916 JOX851903:JOX851916 JYT851903:JYT851916 KIP851903:KIP851916 KSL851903:KSL851916 LCH851903:LCH851916 LMD851903:LMD851916 LVZ851903:LVZ851916 MFV851903:MFV851916 MPR851903:MPR851916 MZN851903:MZN851916 NJJ851903:NJJ851916 NTF851903:NTF851916 ODB851903:ODB851916 OMX851903:OMX851916 OWT851903:OWT851916 PGP851903:PGP851916 PQL851903:PQL851916 QAH851903:QAH851916 QKD851903:QKD851916 QTZ851903:QTZ851916 RDV851903:RDV851916 RNR851903:RNR851916 RXN851903:RXN851916 SHJ851903:SHJ851916 SRF851903:SRF851916 TBB851903:TBB851916 TKX851903:TKX851916 TUT851903:TUT851916 UEP851903:UEP851916 UOL851903:UOL851916 UYH851903:UYH851916 VID851903:VID851916 VRZ851903:VRZ851916 WBV851903:WBV851916 WLR851903:WLR851916 WVN851903:WVN851916 F917439:F917452 JB917439:JB917452 SX917439:SX917452 ACT917439:ACT917452 AMP917439:AMP917452 AWL917439:AWL917452 BGH917439:BGH917452 BQD917439:BQD917452 BZZ917439:BZZ917452 CJV917439:CJV917452 CTR917439:CTR917452 DDN917439:DDN917452 DNJ917439:DNJ917452 DXF917439:DXF917452 EHB917439:EHB917452 EQX917439:EQX917452 FAT917439:FAT917452 FKP917439:FKP917452 FUL917439:FUL917452 GEH917439:GEH917452 GOD917439:GOD917452 GXZ917439:GXZ917452 HHV917439:HHV917452 HRR917439:HRR917452 IBN917439:IBN917452 ILJ917439:ILJ917452 IVF917439:IVF917452 JFB917439:JFB917452 JOX917439:JOX917452 JYT917439:JYT917452 KIP917439:KIP917452 KSL917439:KSL917452 LCH917439:LCH917452 LMD917439:LMD917452 LVZ917439:LVZ917452 MFV917439:MFV917452 MPR917439:MPR917452 MZN917439:MZN917452 NJJ917439:NJJ917452 NTF917439:NTF917452 ODB917439:ODB917452 OMX917439:OMX917452 OWT917439:OWT917452 PGP917439:PGP917452 PQL917439:PQL917452 QAH917439:QAH917452 QKD917439:QKD917452 QTZ917439:QTZ917452 RDV917439:RDV917452 RNR917439:RNR917452 RXN917439:RXN917452 SHJ917439:SHJ917452 SRF917439:SRF917452 TBB917439:TBB917452 TKX917439:TKX917452 TUT917439:TUT917452 UEP917439:UEP917452 UOL917439:UOL917452 UYH917439:UYH917452 VID917439:VID917452 VRZ917439:VRZ917452 WBV917439:WBV917452 WLR917439:WLR917452 WVN917439:WVN917452 F982975:F982988 JB982975:JB982988 SX982975:SX982988 ACT982975:ACT982988 AMP982975:AMP982988 AWL982975:AWL982988 BGH982975:BGH982988 BQD982975:BQD982988 BZZ982975:BZZ982988 CJV982975:CJV982988 CTR982975:CTR982988 DDN982975:DDN982988 DNJ982975:DNJ982988 DXF982975:DXF982988 EHB982975:EHB982988 EQX982975:EQX982988 FAT982975:FAT982988 FKP982975:FKP982988 FUL982975:FUL982988 GEH982975:GEH982988 GOD982975:GOD982988 GXZ982975:GXZ982988 HHV982975:HHV982988 HRR982975:HRR982988 IBN982975:IBN982988 ILJ982975:ILJ982988 IVF982975:IVF982988 JFB982975:JFB982988 JOX982975:JOX982988 JYT982975:JYT982988 KIP982975:KIP982988 KSL982975:KSL982988 LCH982975:LCH982988 LMD982975:LMD982988 LVZ982975:LVZ982988 MFV982975:MFV982988 MPR982975:MPR982988 MZN982975:MZN982988 NJJ982975:NJJ982988 NTF982975:NTF982988 ODB982975:ODB982988 OMX982975:OMX982988 OWT982975:OWT982988 PGP982975:PGP982988 PQL982975:PQL982988 QAH982975:QAH982988 QKD982975:QKD982988 QTZ982975:QTZ982988 RDV982975:RDV982988 RNR982975:RNR982988 RXN982975:RXN982988 SHJ982975:SHJ982988 SRF982975:SRF982988 TBB982975:TBB982988 TKX982975:TKX982988 TUT982975:TUT982988 UEP982975:UEP982988 UOL982975:UOL982988 UYH982975:UYH982988 VID982975:VID982988 VRZ982975:VRZ982988 WBV982975:WBV982988 WLR982975:WLR982988 WVN982975:WVN982988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2975:WVM982976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471:E65472 JA65471:JA65472 SW65471:SW65472 ACS65471:ACS65472 AMO65471:AMO65472 AWK65471:AWK65472 BGG65471:BGG65472 BQC65471:BQC65472 BZY65471:BZY65472 CJU65471:CJU65472 CTQ65471:CTQ65472 DDM65471:DDM65472 DNI65471:DNI65472 DXE65471:DXE65472 EHA65471:EHA65472 EQW65471:EQW65472 FAS65471:FAS65472 FKO65471:FKO65472 FUK65471:FUK65472 GEG65471:GEG65472 GOC65471:GOC65472 GXY65471:GXY65472 HHU65471:HHU65472 HRQ65471:HRQ65472 IBM65471:IBM65472 ILI65471:ILI65472 IVE65471:IVE65472 JFA65471:JFA65472 JOW65471:JOW65472 JYS65471:JYS65472 KIO65471:KIO65472 KSK65471:KSK65472 LCG65471:LCG65472 LMC65471:LMC65472 LVY65471:LVY65472 MFU65471:MFU65472 MPQ65471:MPQ65472 MZM65471:MZM65472 NJI65471:NJI65472 NTE65471:NTE65472 ODA65471:ODA65472 OMW65471:OMW65472 OWS65471:OWS65472 PGO65471:PGO65472 PQK65471:PQK65472 QAG65471:QAG65472 QKC65471:QKC65472 QTY65471:QTY65472 RDU65471:RDU65472 RNQ65471:RNQ65472 RXM65471:RXM65472 SHI65471:SHI65472 SRE65471:SRE65472 TBA65471:TBA65472 TKW65471:TKW65472 TUS65471:TUS65472 UEO65471:UEO65472 UOK65471:UOK65472 UYG65471:UYG65472 VIC65471:VIC65472 VRY65471:VRY65472 WBU65471:WBU65472 WLQ65471:WLQ65472 WVM65471:WVM65472 E131007:E131008 JA131007:JA131008 SW131007:SW131008 ACS131007:ACS131008 AMO131007:AMO131008 AWK131007:AWK131008 BGG131007:BGG131008 BQC131007:BQC131008 BZY131007:BZY131008 CJU131007:CJU131008 CTQ131007:CTQ131008 DDM131007:DDM131008 DNI131007:DNI131008 DXE131007:DXE131008 EHA131007:EHA131008 EQW131007:EQW131008 FAS131007:FAS131008 FKO131007:FKO131008 FUK131007:FUK131008 GEG131007:GEG131008 GOC131007:GOC131008 GXY131007:GXY131008 HHU131007:HHU131008 HRQ131007:HRQ131008 IBM131007:IBM131008 ILI131007:ILI131008 IVE131007:IVE131008 JFA131007:JFA131008 JOW131007:JOW131008 JYS131007:JYS131008 KIO131007:KIO131008 KSK131007:KSK131008 LCG131007:LCG131008 LMC131007:LMC131008 LVY131007:LVY131008 MFU131007:MFU131008 MPQ131007:MPQ131008 MZM131007:MZM131008 NJI131007:NJI131008 NTE131007:NTE131008 ODA131007:ODA131008 OMW131007:OMW131008 OWS131007:OWS131008 PGO131007:PGO131008 PQK131007:PQK131008 QAG131007:QAG131008 QKC131007:QKC131008 QTY131007:QTY131008 RDU131007:RDU131008 RNQ131007:RNQ131008 RXM131007:RXM131008 SHI131007:SHI131008 SRE131007:SRE131008 TBA131007:TBA131008 TKW131007:TKW131008 TUS131007:TUS131008 UEO131007:UEO131008 UOK131007:UOK131008 UYG131007:UYG131008 VIC131007:VIC131008 VRY131007:VRY131008 WBU131007:WBU131008 WLQ131007:WLQ131008 WVM131007:WVM131008 E196543:E196544 JA196543:JA196544 SW196543:SW196544 ACS196543:ACS196544 AMO196543:AMO196544 AWK196543:AWK196544 BGG196543:BGG196544 BQC196543:BQC196544 BZY196543:BZY196544 CJU196543:CJU196544 CTQ196543:CTQ196544 DDM196543:DDM196544 DNI196543:DNI196544 DXE196543:DXE196544 EHA196543:EHA196544 EQW196543:EQW196544 FAS196543:FAS196544 FKO196543:FKO196544 FUK196543:FUK196544 GEG196543:GEG196544 GOC196543:GOC196544 GXY196543:GXY196544 HHU196543:HHU196544 HRQ196543:HRQ196544 IBM196543:IBM196544 ILI196543:ILI196544 IVE196543:IVE196544 JFA196543:JFA196544 JOW196543:JOW196544 JYS196543:JYS196544 KIO196543:KIO196544 KSK196543:KSK196544 LCG196543:LCG196544 LMC196543:LMC196544 LVY196543:LVY196544 MFU196543:MFU196544 MPQ196543:MPQ196544 MZM196543:MZM196544 NJI196543:NJI196544 NTE196543:NTE196544 ODA196543:ODA196544 OMW196543:OMW196544 OWS196543:OWS196544 PGO196543:PGO196544 PQK196543:PQK196544 QAG196543:QAG196544 QKC196543:QKC196544 QTY196543:QTY196544 RDU196543:RDU196544 RNQ196543:RNQ196544 RXM196543:RXM196544 SHI196543:SHI196544 SRE196543:SRE196544 TBA196543:TBA196544 TKW196543:TKW196544 TUS196543:TUS196544 UEO196543:UEO196544 UOK196543:UOK196544 UYG196543:UYG196544 VIC196543:VIC196544 VRY196543:VRY196544 WBU196543:WBU196544 WLQ196543:WLQ196544 WVM196543:WVM196544 E262079:E262080 JA262079:JA262080 SW262079:SW262080 ACS262079:ACS262080 AMO262079:AMO262080 AWK262079:AWK262080 BGG262079:BGG262080 BQC262079:BQC262080 BZY262079:BZY262080 CJU262079:CJU262080 CTQ262079:CTQ262080 DDM262079:DDM262080 DNI262079:DNI262080 DXE262079:DXE262080 EHA262079:EHA262080 EQW262079:EQW262080 FAS262079:FAS262080 FKO262079:FKO262080 FUK262079:FUK262080 GEG262079:GEG262080 GOC262079:GOC262080 GXY262079:GXY262080 HHU262079:HHU262080 HRQ262079:HRQ262080 IBM262079:IBM262080 ILI262079:ILI262080 IVE262079:IVE262080 JFA262079:JFA262080 JOW262079:JOW262080 JYS262079:JYS262080 KIO262079:KIO262080 KSK262079:KSK262080 LCG262079:LCG262080 LMC262079:LMC262080 LVY262079:LVY262080 MFU262079:MFU262080 MPQ262079:MPQ262080 MZM262079:MZM262080 NJI262079:NJI262080 NTE262079:NTE262080 ODA262079:ODA262080 OMW262079:OMW262080 OWS262079:OWS262080 PGO262079:PGO262080 PQK262079:PQK262080 QAG262079:QAG262080 QKC262079:QKC262080 QTY262079:QTY262080 RDU262079:RDU262080 RNQ262079:RNQ262080 RXM262079:RXM262080 SHI262079:SHI262080 SRE262079:SRE262080 TBA262079:TBA262080 TKW262079:TKW262080 TUS262079:TUS262080 UEO262079:UEO262080 UOK262079:UOK262080 UYG262079:UYG262080 VIC262079:VIC262080 VRY262079:VRY262080 WBU262079:WBU262080 WLQ262079:WLQ262080 WVM262079:WVM262080 E327615:E327616 JA327615:JA327616 SW327615:SW327616 ACS327615:ACS327616 AMO327615:AMO327616 AWK327615:AWK327616 BGG327615:BGG327616 BQC327615:BQC327616 BZY327615:BZY327616 CJU327615:CJU327616 CTQ327615:CTQ327616 DDM327615:DDM327616 DNI327615:DNI327616 DXE327615:DXE327616 EHA327615:EHA327616 EQW327615:EQW327616 FAS327615:FAS327616 FKO327615:FKO327616 FUK327615:FUK327616 GEG327615:GEG327616 GOC327615:GOC327616 GXY327615:GXY327616 HHU327615:HHU327616 HRQ327615:HRQ327616 IBM327615:IBM327616 ILI327615:ILI327616 IVE327615:IVE327616 JFA327615:JFA327616 JOW327615:JOW327616 JYS327615:JYS327616 KIO327615:KIO327616 KSK327615:KSK327616 LCG327615:LCG327616 LMC327615:LMC327616 LVY327615:LVY327616 MFU327615:MFU327616 MPQ327615:MPQ327616 MZM327615:MZM327616 NJI327615:NJI327616 NTE327615:NTE327616 ODA327615:ODA327616 OMW327615:OMW327616 OWS327615:OWS327616 PGO327615:PGO327616 PQK327615:PQK327616 QAG327615:QAG327616 QKC327615:QKC327616 QTY327615:QTY327616 RDU327615:RDU327616 RNQ327615:RNQ327616 RXM327615:RXM327616 SHI327615:SHI327616 SRE327615:SRE327616 TBA327615:TBA327616 TKW327615:TKW327616 TUS327615:TUS327616 UEO327615:UEO327616 UOK327615:UOK327616 UYG327615:UYG327616 VIC327615:VIC327616 VRY327615:VRY327616 WBU327615:WBU327616 WLQ327615:WLQ327616 WVM327615:WVM327616 E393151:E393152 JA393151:JA393152 SW393151:SW393152 ACS393151:ACS393152 AMO393151:AMO393152 AWK393151:AWK393152 BGG393151:BGG393152 BQC393151:BQC393152 BZY393151:BZY393152 CJU393151:CJU393152 CTQ393151:CTQ393152 DDM393151:DDM393152 DNI393151:DNI393152 DXE393151:DXE393152 EHA393151:EHA393152 EQW393151:EQW393152 FAS393151:FAS393152 FKO393151:FKO393152 FUK393151:FUK393152 GEG393151:GEG393152 GOC393151:GOC393152 GXY393151:GXY393152 HHU393151:HHU393152 HRQ393151:HRQ393152 IBM393151:IBM393152 ILI393151:ILI393152 IVE393151:IVE393152 JFA393151:JFA393152 JOW393151:JOW393152 JYS393151:JYS393152 KIO393151:KIO393152 KSK393151:KSK393152 LCG393151:LCG393152 LMC393151:LMC393152 LVY393151:LVY393152 MFU393151:MFU393152 MPQ393151:MPQ393152 MZM393151:MZM393152 NJI393151:NJI393152 NTE393151:NTE393152 ODA393151:ODA393152 OMW393151:OMW393152 OWS393151:OWS393152 PGO393151:PGO393152 PQK393151:PQK393152 QAG393151:QAG393152 QKC393151:QKC393152 QTY393151:QTY393152 RDU393151:RDU393152 RNQ393151:RNQ393152 RXM393151:RXM393152 SHI393151:SHI393152 SRE393151:SRE393152 TBA393151:TBA393152 TKW393151:TKW393152 TUS393151:TUS393152 UEO393151:UEO393152 UOK393151:UOK393152 UYG393151:UYG393152 VIC393151:VIC393152 VRY393151:VRY393152 WBU393151:WBU393152 WLQ393151:WLQ393152 WVM393151:WVM393152 E458687:E458688 JA458687:JA458688 SW458687:SW458688 ACS458687:ACS458688 AMO458687:AMO458688 AWK458687:AWK458688 BGG458687:BGG458688 BQC458687:BQC458688 BZY458687:BZY458688 CJU458687:CJU458688 CTQ458687:CTQ458688 DDM458687:DDM458688 DNI458687:DNI458688 DXE458687:DXE458688 EHA458687:EHA458688 EQW458687:EQW458688 FAS458687:FAS458688 FKO458687:FKO458688 FUK458687:FUK458688 GEG458687:GEG458688 GOC458687:GOC458688 GXY458687:GXY458688 HHU458687:HHU458688 HRQ458687:HRQ458688 IBM458687:IBM458688 ILI458687:ILI458688 IVE458687:IVE458688 JFA458687:JFA458688 JOW458687:JOW458688 JYS458687:JYS458688 KIO458687:KIO458688 KSK458687:KSK458688 LCG458687:LCG458688 LMC458687:LMC458688 LVY458687:LVY458688 MFU458687:MFU458688 MPQ458687:MPQ458688 MZM458687:MZM458688 NJI458687:NJI458688 NTE458687:NTE458688 ODA458687:ODA458688 OMW458687:OMW458688 OWS458687:OWS458688 PGO458687:PGO458688 PQK458687:PQK458688 QAG458687:QAG458688 QKC458687:QKC458688 QTY458687:QTY458688 RDU458687:RDU458688 RNQ458687:RNQ458688 RXM458687:RXM458688 SHI458687:SHI458688 SRE458687:SRE458688 TBA458687:TBA458688 TKW458687:TKW458688 TUS458687:TUS458688 UEO458687:UEO458688 UOK458687:UOK458688 UYG458687:UYG458688 VIC458687:VIC458688 VRY458687:VRY458688 WBU458687:WBU458688 WLQ458687:WLQ458688 WVM458687:WVM458688 E524223:E524224 JA524223:JA524224 SW524223:SW524224 ACS524223:ACS524224 AMO524223:AMO524224 AWK524223:AWK524224 BGG524223:BGG524224 BQC524223:BQC524224 BZY524223:BZY524224 CJU524223:CJU524224 CTQ524223:CTQ524224 DDM524223:DDM524224 DNI524223:DNI524224 DXE524223:DXE524224 EHA524223:EHA524224 EQW524223:EQW524224 FAS524223:FAS524224 FKO524223:FKO524224 FUK524223:FUK524224 GEG524223:GEG524224 GOC524223:GOC524224 GXY524223:GXY524224 HHU524223:HHU524224 HRQ524223:HRQ524224 IBM524223:IBM524224 ILI524223:ILI524224 IVE524223:IVE524224 JFA524223:JFA524224 JOW524223:JOW524224 JYS524223:JYS524224 KIO524223:KIO524224 KSK524223:KSK524224 LCG524223:LCG524224 LMC524223:LMC524224 LVY524223:LVY524224 MFU524223:MFU524224 MPQ524223:MPQ524224 MZM524223:MZM524224 NJI524223:NJI524224 NTE524223:NTE524224 ODA524223:ODA524224 OMW524223:OMW524224 OWS524223:OWS524224 PGO524223:PGO524224 PQK524223:PQK524224 QAG524223:QAG524224 QKC524223:QKC524224 QTY524223:QTY524224 RDU524223:RDU524224 RNQ524223:RNQ524224 RXM524223:RXM524224 SHI524223:SHI524224 SRE524223:SRE524224 TBA524223:TBA524224 TKW524223:TKW524224 TUS524223:TUS524224 UEO524223:UEO524224 UOK524223:UOK524224 UYG524223:UYG524224 VIC524223:VIC524224 VRY524223:VRY524224 WBU524223:WBU524224 WLQ524223:WLQ524224 WVM524223:WVM524224 E589759:E589760 JA589759:JA589760 SW589759:SW589760 ACS589759:ACS589760 AMO589759:AMO589760 AWK589759:AWK589760 BGG589759:BGG589760 BQC589759:BQC589760 BZY589759:BZY589760 CJU589759:CJU589760 CTQ589759:CTQ589760 DDM589759:DDM589760 DNI589759:DNI589760 DXE589759:DXE589760 EHA589759:EHA589760 EQW589759:EQW589760 FAS589759:FAS589760 FKO589759:FKO589760 FUK589759:FUK589760 GEG589759:GEG589760 GOC589759:GOC589760 GXY589759:GXY589760 HHU589759:HHU589760 HRQ589759:HRQ589760 IBM589759:IBM589760 ILI589759:ILI589760 IVE589759:IVE589760 JFA589759:JFA589760 JOW589759:JOW589760 JYS589759:JYS589760 KIO589759:KIO589760 KSK589759:KSK589760 LCG589759:LCG589760 LMC589759:LMC589760 LVY589759:LVY589760 MFU589759:MFU589760 MPQ589759:MPQ589760 MZM589759:MZM589760 NJI589759:NJI589760 NTE589759:NTE589760 ODA589759:ODA589760 OMW589759:OMW589760 OWS589759:OWS589760 PGO589759:PGO589760 PQK589759:PQK589760 QAG589759:QAG589760 QKC589759:QKC589760 QTY589759:QTY589760 RDU589759:RDU589760 RNQ589759:RNQ589760 RXM589759:RXM589760 SHI589759:SHI589760 SRE589759:SRE589760 TBA589759:TBA589760 TKW589759:TKW589760 TUS589759:TUS589760 UEO589759:UEO589760 UOK589759:UOK589760 UYG589759:UYG589760 VIC589759:VIC589760 VRY589759:VRY589760 WBU589759:WBU589760 WLQ589759:WLQ589760 WVM589759:WVM589760 E655295:E655296 JA655295:JA655296 SW655295:SW655296 ACS655295:ACS655296 AMO655295:AMO655296 AWK655295:AWK655296 BGG655295:BGG655296 BQC655295:BQC655296 BZY655295:BZY655296 CJU655295:CJU655296 CTQ655295:CTQ655296 DDM655295:DDM655296 DNI655295:DNI655296 DXE655295:DXE655296 EHA655295:EHA655296 EQW655295:EQW655296 FAS655295:FAS655296 FKO655295:FKO655296 FUK655295:FUK655296 GEG655295:GEG655296 GOC655295:GOC655296 GXY655295:GXY655296 HHU655295:HHU655296 HRQ655295:HRQ655296 IBM655295:IBM655296 ILI655295:ILI655296 IVE655295:IVE655296 JFA655295:JFA655296 JOW655295:JOW655296 JYS655295:JYS655296 KIO655295:KIO655296 KSK655295:KSK655296 LCG655295:LCG655296 LMC655295:LMC655296 LVY655295:LVY655296 MFU655295:MFU655296 MPQ655295:MPQ655296 MZM655295:MZM655296 NJI655295:NJI655296 NTE655295:NTE655296 ODA655295:ODA655296 OMW655295:OMW655296 OWS655295:OWS655296 PGO655295:PGO655296 PQK655295:PQK655296 QAG655295:QAG655296 QKC655295:QKC655296 QTY655295:QTY655296 RDU655295:RDU655296 RNQ655295:RNQ655296 RXM655295:RXM655296 SHI655295:SHI655296 SRE655295:SRE655296 TBA655295:TBA655296 TKW655295:TKW655296 TUS655295:TUS655296 UEO655295:UEO655296 UOK655295:UOK655296 UYG655295:UYG655296 VIC655295:VIC655296 VRY655295:VRY655296 WBU655295:WBU655296 WLQ655295:WLQ655296 WVM655295:WVM655296 E720831:E720832 JA720831:JA720832 SW720831:SW720832 ACS720831:ACS720832 AMO720831:AMO720832 AWK720831:AWK720832 BGG720831:BGG720832 BQC720831:BQC720832 BZY720831:BZY720832 CJU720831:CJU720832 CTQ720831:CTQ720832 DDM720831:DDM720832 DNI720831:DNI720832 DXE720831:DXE720832 EHA720831:EHA720832 EQW720831:EQW720832 FAS720831:FAS720832 FKO720831:FKO720832 FUK720831:FUK720832 GEG720831:GEG720832 GOC720831:GOC720832 GXY720831:GXY720832 HHU720831:HHU720832 HRQ720831:HRQ720832 IBM720831:IBM720832 ILI720831:ILI720832 IVE720831:IVE720832 JFA720831:JFA720832 JOW720831:JOW720832 JYS720831:JYS720832 KIO720831:KIO720832 KSK720831:KSK720832 LCG720831:LCG720832 LMC720831:LMC720832 LVY720831:LVY720832 MFU720831:MFU720832 MPQ720831:MPQ720832 MZM720831:MZM720832 NJI720831:NJI720832 NTE720831:NTE720832 ODA720831:ODA720832 OMW720831:OMW720832 OWS720831:OWS720832 PGO720831:PGO720832 PQK720831:PQK720832 QAG720831:QAG720832 QKC720831:QKC720832 QTY720831:QTY720832 RDU720831:RDU720832 RNQ720831:RNQ720832 RXM720831:RXM720832 SHI720831:SHI720832 SRE720831:SRE720832 TBA720831:TBA720832 TKW720831:TKW720832 TUS720831:TUS720832 UEO720831:UEO720832 UOK720831:UOK720832 UYG720831:UYG720832 VIC720831:VIC720832 VRY720831:VRY720832 WBU720831:WBU720832 WLQ720831:WLQ720832 WVM720831:WVM720832 E786367:E786368 JA786367:JA786368 SW786367:SW786368 ACS786367:ACS786368 AMO786367:AMO786368 AWK786367:AWK786368 BGG786367:BGG786368 BQC786367:BQC786368 BZY786367:BZY786368 CJU786367:CJU786368 CTQ786367:CTQ786368 DDM786367:DDM786368 DNI786367:DNI786368 DXE786367:DXE786368 EHA786367:EHA786368 EQW786367:EQW786368 FAS786367:FAS786368 FKO786367:FKO786368 FUK786367:FUK786368 GEG786367:GEG786368 GOC786367:GOC786368 GXY786367:GXY786368 HHU786367:HHU786368 HRQ786367:HRQ786368 IBM786367:IBM786368 ILI786367:ILI786368 IVE786367:IVE786368 JFA786367:JFA786368 JOW786367:JOW786368 JYS786367:JYS786368 KIO786367:KIO786368 KSK786367:KSK786368 LCG786367:LCG786368 LMC786367:LMC786368 LVY786367:LVY786368 MFU786367:MFU786368 MPQ786367:MPQ786368 MZM786367:MZM786368 NJI786367:NJI786368 NTE786367:NTE786368 ODA786367:ODA786368 OMW786367:OMW786368 OWS786367:OWS786368 PGO786367:PGO786368 PQK786367:PQK786368 QAG786367:QAG786368 QKC786367:QKC786368 QTY786367:QTY786368 RDU786367:RDU786368 RNQ786367:RNQ786368 RXM786367:RXM786368 SHI786367:SHI786368 SRE786367:SRE786368 TBA786367:TBA786368 TKW786367:TKW786368 TUS786367:TUS786368 UEO786367:UEO786368 UOK786367:UOK786368 UYG786367:UYG786368 VIC786367:VIC786368 VRY786367:VRY786368 WBU786367:WBU786368 WLQ786367:WLQ786368 WVM786367:WVM786368 E851903:E851904 JA851903:JA851904 SW851903:SW851904 ACS851903:ACS851904 AMO851903:AMO851904 AWK851903:AWK851904 BGG851903:BGG851904 BQC851903:BQC851904 BZY851903:BZY851904 CJU851903:CJU851904 CTQ851903:CTQ851904 DDM851903:DDM851904 DNI851903:DNI851904 DXE851903:DXE851904 EHA851903:EHA851904 EQW851903:EQW851904 FAS851903:FAS851904 FKO851903:FKO851904 FUK851903:FUK851904 GEG851903:GEG851904 GOC851903:GOC851904 GXY851903:GXY851904 HHU851903:HHU851904 HRQ851903:HRQ851904 IBM851903:IBM851904 ILI851903:ILI851904 IVE851903:IVE851904 JFA851903:JFA851904 JOW851903:JOW851904 JYS851903:JYS851904 KIO851903:KIO851904 KSK851903:KSK851904 LCG851903:LCG851904 LMC851903:LMC851904 LVY851903:LVY851904 MFU851903:MFU851904 MPQ851903:MPQ851904 MZM851903:MZM851904 NJI851903:NJI851904 NTE851903:NTE851904 ODA851903:ODA851904 OMW851903:OMW851904 OWS851903:OWS851904 PGO851903:PGO851904 PQK851903:PQK851904 QAG851903:QAG851904 QKC851903:QKC851904 QTY851903:QTY851904 RDU851903:RDU851904 RNQ851903:RNQ851904 RXM851903:RXM851904 SHI851903:SHI851904 SRE851903:SRE851904 TBA851903:TBA851904 TKW851903:TKW851904 TUS851903:TUS851904 UEO851903:UEO851904 UOK851903:UOK851904 UYG851903:UYG851904 VIC851903:VIC851904 VRY851903:VRY851904 WBU851903:WBU851904 WLQ851903:WLQ851904 WVM851903:WVM851904 E917439:E917440 JA917439:JA917440 SW917439:SW917440 ACS917439:ACS917440 AMO917439:AMO917440 AWK917439:AWK917440 BGG917439:BGG917440 BQC917439:BQC917440 BZY917439:BZY917440 CJU917439:CJU917440 CTQ917439:CTQ917440 DDM917439:DDM917440 DNI917439:DNI917440 DXE917439:DXE917440 EHA917439:EHA917440 EQW917439:EQW917440 FAS917439:FAS917440 FKO917439:FKO917440 FUK917439:FUK917440 GEG917439:GEG917440 GOC917439:GOC917440 GXY917439:GXY917440 HHU917439:HHU917440 HRQ917439:HRQ917440 IBM917439:IBM917440 ILI917439:ILI917440 IVE917439:IVE917440 JFA917439:JFA917440 JOW917439:JOW917440 JYS917439:JYS917440 KIO917439:KIO917440 KSK917439:KSK917440 LCG917439:LCG917440 LMC917439:LMC917440 LVY917439:LVY917440 MFU917439:MFU917440 MPQ917439:MPQ917440 MZM917439:MZM917440 NJI917439:NJI917440 NTE917439:NTE917440 ODA917439:ODA917440 OMW917439:OMW917440 OWS917439:OWS917440 PGO917439:PGO917440 PQK917439:PQK917440 QAG917439:QAG917440 QKC917439:QKC917440 QTY917439:QTY917440 RDU917439:RDU917440 RNQ917439:RNQ917440 RXM917439:RXM917440 SHI917439:SHI917440 SRE917439:SRE917440 TBA917439:TBA917440 TKW917439:TKW917440 TUS917439:TUS917440 UEO917439:UEO917440 UOK917439:UOK917440 UYG917439:UYG917440 VIC917439:VIC917440 VRY917439:VRY917440 WBU917439:WBU917440 WLQ917439:WLQ917440 WVM917439:WVM917440 E982975:E982976 JA982975:JA982976 SW982975:SW982976 ACS982975:ACS982976 AMO982975:AMO982976 AWK982975:AWK982976 BGG982975:BGG982976 BQC982975:BQC982976 BZY982975:BZY982976 CJU982975:CJU982976 CTQ982975:CTQ982976 DDM982975:DDM982976 DNI982975:DNI982976 DXE982975:DXE982976 EHA982975:EHA982976 EQW982975:EQW982976 FAS982975:FAS982976 FKO982975:FKO982976 FUK982975:FUK982976 GEG982975:GEG982976 GOC982975:GOC982976 GXY982975:GXY982976 HHU982975:HHU982976 HRQ982975:HRQ982976 IBM982975:IBM982976 ILI982975:ILI982976 IVE982975:IVE982976 JFA982975:JFA982976 JOW982975:JOW982976 JYS982975:JYS982976 KIO982975:KIO982976 KSK982975:KSK982976 LCG982975:LCG982976 LMC982975:LMC982976 LVY982975:LVY982976 MFU982975:MFU982976 MPQ982975:MPQ982976 MZM982975:MZM982976 NJI982975:NJI982976 NTE982975:NTE982976 ODA982975:ODA982976 OMW982975:OMW982976 OWS982975:OWS982976 PGO982975:PGO982976 PQK982975:PQK982976 QAG982975:QAG982976 QKC982975:QKC982976 QTY982975:QTY982976 RDU982975:RDU982976 RNQ982975:RNQ982976 RXM982975:RXM982976 SHI982975:SHI982976 SRE982975:SRE982976 TBA982975:TBA982976 TKW982975:TKW982976 TUS982975:TUS982976 UEO982975:UEO982976 UOK982975:UOK982976 UYG982975:UYG982976 VIC982975:VIC982976 VRY982975:VRY982976 WBU982975:WBU982976 WLQ982975:WLQ982976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41:L50 K55:L59 K66:L70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75:L79"/>
  </dataValidations>
  <pageMargins left="0.31496062992125984" right="0.31496062992125984" top="0.59055118110236227" bottom="0.39370078740157483" header="0.19685039370078741" footer="0.19685039370078741"/>
  <pageSetup paperSize="9" scale="57" orientation="landscape" r:id="rId1"/>
  <headerFooter alignWithMargins="0">
    <oddHeader>&amp;Rส่วนที่ 2 การคำนวณภาระงานวิจัยและงานวิชาการอื่น   หน้าที่ &amp;P/&amp;N</oddHeader>
    <oddFooter>&amp;LAPS v.4.3 พนักงานมหาวิทยาลัย&amp;Cหน้าที่ &amp;P/&amp;N</oddFooter>
  </headerFooter>
  <rowBreaks count="4" manualBreakCount="4">
    <brk id="61" min="1" max="17" man="1"/>
    <brk id="122" min="1" max="17" man="1"/>
    <brk id="176" min="1" max="17" man="1"/>
    <brk id="230" min="1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9"/>
  </sheetPr>
  <dimension ref="A2:R462"/>
  <sheetViews>
    <sheetView showGridLines="0" topLeftCell="A307" zoomScaleSheetLayoutView="70" workbookViewId="0">
      <selection activeCell="C296" sqref="C296"/>
    </sheetView>
  </sheetViews>
  <sheetFormatPr defaultRowHeight="12.75" x14ac:dyDescent="0.2"/>
  <cols>
    <col min="1" max="1" width="1.625" style="1503" customWidth="1"/>
    <col min="2" max="2" width="10.625" style="1503" customWidth="1"/>
    <col min="3" max="3" width="43.875" style="1503" customWidth="1"/>
    <col min="4" max="4" width="11.375" style="1503" customWidth="1"/>
    <col min="5" max="5" width="13.375" style="1503" bestFit="1" customWidth="1"/>
    <col min="6" max="6" width="12.75" style="1503" bestFit="1" customWidth="1"/>
    <col min="7" max="7" width="12.125" style="1503" bestFit="1" customWidth="1"/>
    <col min="8" max="8" width="7.625" style="1503" customWidth="1"/>
    <col min="9" max="9" width="12.625" style="1503" customWidth="1"/>
    <col min="10" max="10" width="11.125" style="1503" bestFit="1" customWidth="1"/>
    <col min="11" max="11" width="9" style="1503" hidden="1" customWidth="1"/>
    <col min="12" max="12" width="10.375" style="1504" hidden="1" customWidth="1"/>
    <col min="13" max="14" width="8.875" style="1504" hidden="1" customWidth="1"/>
    <col min="15" max="18" width="8" style="1504" hidden="1" customWidth="1"/>
    <col min="19" max="258" width="9" style="1503"/>
    <col min="259" max="259" width="4.875" style="1503" customWidth="1"/>
    <col min="260" max="260" width="12.375" style="1503" customWidth="1"/>
    <col min="261" max="261" width="31.75" style="1503" customWidth="1"/>
    <col min="262" max="262" width="12.625" style="1503" customWidth="1"/>
    <col min="263" max="263" width="12.25" style="1503" customWidth="1"/>
    <col min="264" max="264" width="11" style="1503" customWidth="1"/>
    <col min="265" max="265" width="12.625" style="1503" customWidth="1"/>
    <col min="266" max="266" width="12.875" style="1503" customWidth="1"/>
    <col min="267" max="514" width="9" style="1503"/>
    <col min="515" max="515" width="4.875" style="1503" customWidth="1"/>
    <col min="516" max="516" width="12.375" style="1503" customWidth="1"/>
    <col min="517" max="517" width="31.75" style="1503" customWidth="1"/>
    <col min="518" max="518" width="12.625" style="1503" customWidth="1"/>
    <col min="519" max="519" width="12.25" style="1503" customWidth="1"/>
    <col min="520" max="520" width="11" style="1503" customWidth="1"/>
    <col min="521" max="521" width="12.625" style="1503" customWidth="1"/>
    <col min="522" max="522" width="12.875" style="1503" customWidth="1"/>
    <col min="523" max="770" width="9" style="1503"/>
    <col min="771" max="771" width="4.875" style="1503" customWidth="1"/>
    <col min="772" max="772" width="12.375" style="1503" customWidth="1"/>
    <col min="773" max="773" width="31.75" style="1503" customWidth="1"/>
    <col min="774" max="774" width="12.625" style="1503" customWidth="1"/>
    <col min="775" max="775" width="12.25" style="1503" customWidth="1"/>
    <col min="776" max="776" width="11" style="1503" customWidth="1"/>
    <col min="777" max="777" width="12.625" style="1503" customWidth="1"/>
    <col min="778" max="778" width="12.875" style="1503" customWidth="1"/>
    <col min="779" max="1026" width="9" style="1503"/>
    <col min="1027" max="1027" width="4.875" style="1503" customWidth="1"/>
    <col min="1028" max="1028" width="12.375" style="1503" customWidth="1"/>
    <col min="1029" max="1029" width="31.75" style="1503" customWidth="1"/>
    <col min="1030" max="1030" width="12.625" style="1503" customWidth="1"/>
    <col min="1031" max="1031" width="12.25" style="1503" customWidth="1"/>
    <col min="1032" max="1032" width="11" style="1503" customWidth="1"/>
    <col min="1033" max="1033" width="12.625" style="1503" customWidth="1"/>
    <col min="1034" max="1034" width="12.875" style="1503" customWidth="1"/>
    <col min="1035" max="1282" width="9" style="1503"/>
    <col min="1283" max="1283" width="4.875" style="1503" customWidth="1"/>
    <col min="1284" max="1284" width="12.375" style="1503" customWidth="1"/>
    <col min="1285" max="1285" width="31.75" style="1503" customWidth="1"/>
    <col min="1286" max="1286" width="12.625" style="1503" customWidth="1"/>
    <col min="1287" max="1287" width="12.25" style="1503" customWidth="1"/>
    <col min="1288" max="1288" width="11" style="1503" customWidth="1"/>
    <col min="1289" max="1289" width="12.625" style="1503" customWidth="1"/>
    <col min="1290" max="1290" width="12.875" style="1503" customWidth="1"/>
    <col min="1291" max="1538" width="9" style="1503"/>
    <col min="1539" max="1539" width="4.875" style="1503" customWidth="1"/>
    <col min="1540" max="1540" width="12.375" style="1503" customWidth="1"/>
    <col min="1541" max="1541" width="31.75" style="1503" customWidth="1"/>
    <col min="1542" max="1542" width="12.625" style="1503" customWidth="1"/>
    <col min="1543" max="1543" width="12.25" style="1503" customWidth="1"/>
    <col min="1544" max="1544" width="11" style="1503" customWidth="1"/>
    <col min="1545" max="1545" width="12.625" style="1503" customWidth="1"/>
    <col min="1546" max="1546" width="12.875" style="1503" customWidth="1"/>
    <col min="1547" max="1794" width="9" style="1503"/>
    <col min="1795" max="1795" width="4.875" style="1503" customWidth="1"/>
    <col min="1796" max="1796" width="12.375" style="1503" customWidth="1"/>
    <col min="1797" max="1797" width="31.75" style="1503" customWidth="1"/>
    <col min="1798" max="1798" width="12.625" style="1503" customWidth="1"/>
    <col min="1799" max="1799" width="12.25" style="1503" customWidth="1"/>
    <col min="1800" max="1800" width="11" style="1503" customWidth="1"/>
    <col min="1801" max="1801" width="12.625" style="1503" customWidth="1"/>
    <col min="1802" max="1802" width="12.875" style="1503" customWidth="1"/>
    <col min="1803" max="2050" width="9" style="1503"/>
    <col min="2051" max="2051" width="4.875" style="1503" customWidth="1"/>
    <col min="2052" max="2052" width="12.375" style="1503" customWidth="1"/>
    <col min="2053" max="2053" width="31.75" style="1503" customWidth="1"/>
    <col min="2054" max="2054" width="12.625" style="1503" customWidth="1"/>
    <col min="2055" max="2055" width="12.25" style="1503" customWidth="1"/>
    <col min="2056" max="2056" width="11" style="1503" customWidth="1"/>
    <col min="2057" max="2057" width="12.625" style="1503" customWidth="1"/>
    <col min="2058" max="2058" width="12.875" style="1503" customWidth="1"/>
    <col min="2059" max="2306" width="9" style="1503"/>
    <col min="2307" max="2307" width="4.875" style="1503" customWidth="1"/>
    <col min="2308" max="2308" width="12.375" style="1503" customWidth="1"/>
    <col min="2309" max="2309" width="31.75" style="1503" customWidth="1"/>
    <col min="2310" max="2310" width="12.625" style="1503" customWidth="1"/>
    <col min="2311" max="2311" width="12.25" style="1503" customWidth="1"/>
    <col min="2312" max="2312" width="11" style="1503" customWidth="1"/>
    <col min="2313" max="2313" width="12.625" style="1503" customWidth="1"/>
    <col min="2314" max="2314" width="12.875" style="1503" customWidth="1"/>
    <col min="2315" max="2562" width="9" style="1503"/>
    <col min="2563" max="2563" width="4.875" style="1503" customWidth="1"/>
    <col min="2564" max="2564" width="12.375" style="1503" customWidth="1"/>
    <col min="2565" max="2565" width="31.75" style="1503" customWidth="1"/>
    <col min="2566" max="2566" width="12.625" style="1503" customWidth="1"/>
    <col min="2567" max="2567" width="12.25" style="1503" customWidth="1"/>
    <col min="2568" max="2568" width="11" style="1503" customWidth="1"/>
    <col min="2569" max="2569" width="12.625" style="1503" customWidth="1"/>
    <col min="2570" max="2570" width="12.875" style="1503" customWidth="1"/>
    <col min="2571" max="2818" width="9" style="1503"/>
    <col min="2819" max="2819" width="4.875" style="1503" customWidth="1"/>
    <col min="2820" max="2820" width="12.375" style="1503" customWidth="1"/>
    <col min="2821" max="2821" width="31.75" style="1503" customWidth="1"/>
    <col min="2822" max="2822" width="12.625" style="1503" customWidth="1"/>
    <col min="2823" max="2823" width="12.25" style="1503" customWidth="1"/>
    <col min="2824" max="2824" width="11" style="1503" customWidth="1"/>
    <col min="2825" max="2825" width="12.625" style="1503" customWidth="1"/>
    <col min="2826" max="2826" width="12.875" style="1503" customWidth="1"/>
    <col min="2827" max="3074" width="9" style="1503"/>
    <col min="3075" max="3075" width="4.875" style="1503" customWidth="1"/>
    <col min="3076" max="3076" width="12.375" style="1503" customWidth="1"/>
    <col min="3077" max="3077" width="31.75" style="1503" customWidth="1"/>
    <col min="3078" max="3078" width="12.625" style="1503" customWidth="1"/>
    <col min="3079" max="3079" width="12.25" style="1503" customWidth="1"/>
    <col min="3080" max="3080" width="11" style="1503" customWidth="1"/>
    <col min="3081" max="3081" width="12.625" style="1503" customWidth="1"/>
    <col min="3082" max="3082" width="12.875" style="1503" customWidth="1"/>
    <col min="3083" max="3330" width="9" style="1503"/>
    <col min="3331" max="3331" width="4.875" style="1503" customWidth="1"/>
    <col min="3332" max="3332" width="12.375" style="1503" customWidth="1"/>
    <col min="3333" max="3333" width="31.75" style="1503" customWidth="1"/>
    <col min="3334" max="3334" width="12.625" style="1503" customWidth="1"/>
    <col min="3335" max="3335" width="12.25" style="1503" customWidth="1"/>
    <col min="3336" max="3336" width="11" style="1503" customWidth="1"/>
    <col min="3337" max="3337" width="12.625" style="1503" customWidth="1"/>
    <col min="3338" max="3338" width="12.875" style="1503" customWidth="1"/>
    <col min="3339" max="3586" width="9" style="1503"/>
    <col min="3587" max="3587" width="4.875" style="1503" customWidth="1"/>
    <col min="3588" max="3588" width="12.375" style="1503" customWidth="1"/>
    <col min="3589" max="3589" width="31.75" style="1503" customWidth="1"/>
    <col min="3590" max="3590" width="12.625" style="1503" customWidth="1"/>
    <col min="3591" max="3591" width="12.25" style="1503" customWidth="1"/>
    <col min="3592" max="3592" width="11" style="1503" customWidth="1"/>
    <col min="3593" max="3593" width="12.625" style="1503" customWidth="1"/>
    <col min="3594" max="3594" width="12.875" style="1503" customWidth="1"/>
    <col min="3595" max="3842" width="9" style="1503"/>
    <col min="3843" max="3843" width="4.875" style="1503" customWidth="1"/>
    <col min="3844" max="3844" width="12.375" style="1503" customWidth="1"/>
    <col min="3845" max="3845" width="31.75" style="1503" customWidth="1"/>
    <col min="3846" max="3846" width="12.625" style="1503" customWidth="1"/>
    <col min="3847" max="3847" width="12.25" style="1503" customWidth="1"/>
    <col min="3848" max="3848" width="11" style="1503" customWidth="1"/>
    <col min="3849" max="3849" width="12.625" style="1503" customWidth="1"/>
    <col min="3850" max="3850" width="12.875" style="1503" customWidth="1"/>
    <col min="3851" max="4098" width="9" style="1503"/>
    <col min="4099" max="4099" width="4.875" style="1503" customWidth="1"/>
    <col min="4100" max="4100" width="12.375" style="1503" customWidth="1"/>
    <col min="4101" max="4101" width="31.75" style="1503" customWidth="1"/>
    <col min="4102" max="4102" width="12.625" style="1503" customWidth="1"/>
    <col min="4103" max="4103" width="12.25" style="1503" customWidth="1"/>
    <col min="4104" max="4104" width="11" style="1503" customWidth="1"/>
    <col min="4105" max="4105" width="12.625" style="1503" customWidth="1"/>
    <col min="4106" max="4106" width="12.875" style="1503" customWidth="1"/>
    <col min="4107" max="4354" width="9" style="1503"/>
    <col min="4355" max="4355" width="4.875" style="1503" customWidth="1"/>
    <col min="4356" max="4356" width="12.375" style="1503" customWidth="1"/>
    <col min="4357" max="4357" width="31.75" style="1503" customWidth="1"/>
    <col min="4358" max="4358" width="12.625" style="1503" customWidth="1"/>
    <col min="4359" max="4359" width="12.25" style="1503" customWidth="1"/>
    <col min="4360" max="4360" width="11" style="1503" customWidth="1"/>
    <col min="4361" max="4361" width="12.625" style="1503" customWidth="1"/>
    <col min="4362" max="4362" width="12.875" style="1503" customWidth="1"/>
    <col min="4363" max="4610" width="9" style="1503"/>
    <col min="4611" max="4611" width="4.875" style="1503" customWidth="1"/>
    <col min="4612" max="4612" width="12.375" style="1503" customWidth="1"/>
    <col min="4613" max="4613" width="31.75" style="1503" customWidth="1"/>
    <col min="4614" max="4614" width="12.625" style="1503" customWidth="1"/>
    <col min="4615" max="4615" width="12.25" style="1503" customWidth="1"/>
    <col min="4616" max="4616" width="11" style="1503" customWidth="1"/>
    <col min="4617" max="4617" width="12.625" style="1503" customWidth="1"/>
    <col min="4618" max="4618" width="12.875" style="1503" customWidth="1"/>
    <col min="4619" max="4866" width="9" style="1503"/>
    <col min="4867" max="4867" width="4.875" style="1503" customWidth="1"/>
    <col min="4868" max="4868" width="12.375" style="1503" customWidth="1"/>
    <col min="4869" max="4869" width="31.75" style="1503" customWidth="1"/>
    <col min="4870" max="4870" width="12.625" style="1503" customWidth="1"/>
    <col min="4871" max="4871" width="12.25" style="1503" customWidth="1"/>
    <col min="4872" max="4872" width="11" style="1503" customWidth="1"/>
    <col min="4873" max="4873" width="12.625" style="1503" customWidth="1"/>
    <col min="4874" max="4874" width="12.875" style="1503" customWidth="1"/>
    <col min="4875" max="5122" width="9" style="1503"/>
    <col min="5123" max="5123" width="4.875" style="1503" customWidth="1"/>
    <col min="5124" max="5124" width="12.375" style="1503" customWidth="1"/>
    <col min="5125" max="5125" width="31.75" style="1503" customWidth="1"/>
    <col min="5126" max="5126" width="12.625" style="1503" customWidth="1"/>
    <col min="5127" max="5127" width="12.25" style="1503" customWidth="1"/>
    <col min="5128" max="5128" width="11" style="1503" customWidth="1"/>
    <col min="5129" max="5129" width="12.625" style="1503" customWidth="1"/>
    <col min="5130" max="5130" width="12.875" style="1503" customWidth="1"/>
    <col min="5131" max="5378" width="9" style="1503"/>
    <col min="5379" max="5379" width="4.875" style="1503" customWidth="1"/>
    <col min="5380" max="5380" width="12.375" style="1503" customWidth="1"/>
    <col min="5381" max="5381" width="31.75" style="1503" customWidth="1"/>
    <col min="5382" max="5382" width="12.625" style="1503" customWidth="1"/>
    <col min="5383" max="5383" width="12.25" style="1503" customWidth="1"/>
    <col min="5384" max="5384" width="11" style="1503" customWidth="1"/>
    <col min="5385" max="5385" width="12.625" style="1503" customWidth="1"/>
    <col min="5386" max="5386" width="12.875" style="1503" customWidth="1"/>
    <col min="5387" max="5634" width="9" style="1503"/>
    <col min="5635" max="5635" width="4.875" style="1503" customWidth="1"/>
    <col min="5636" max="5636" width="12.375" style="1503" customWidth="1"/>
    <col min="5637" max="5637" width="31.75" style="1503" customWidth="1"/>
    <col min="5638" max="5638" width="12.625" style="1503" customWidth="1"/>
    <col min="5639" max="5639" width="12.25" style="1503" customWidth="1"/>
    <col min="5640" max="5640" width="11" style="1503" customWidth="1"/>
    <col min="5641" max="5641" width="12.625" style="1503" customWidth="1"/>
    <col min="5642" max="5642" width="12.875" style="1503" customWidth="1"/>
    <col min="5643" max="5890" width="9" style="1503"/>
    <col min="5891" max="5891" width="4.875" style="1503" customWidth="1"/>
    <col min="5892" max="5892" width="12.375" style="1503" customWidth="1"/>
    <col min="5893" max="5893" width="31.75" style="1503" customWidth="1"/>
    <col min="5894" max="5894" width="12.625" style="1503" customWidth="1"/>
    <col min="5895" max="5895" width="12.25" style="1503" customWidth="1"/>
    <col min="5896" max="5896" width="11" style="1503" customWidth="1"/>
    <col min="5897" max="5897" width="12.625" style="1503" customWidth="1"/>
    <col min="5898" max="5898" width="12.875" style="1503" customWidth="1"/>
    <col min="5899" max="6146" width="9" style="1503"/>
    <col min="6147" max="6147" width="4.875" style="1503" customWidth="1"/>
    <col min="6148" max="6148" width="12.375" style="1503" customWidth="1"/>
    <col min="6149" max="6149" width="31.75" style="1503" customWidth="1"/>
    <col min="6150" max="6150" width="12.625" style="1503" customWidth="1"/>
    <col min="6151" max="6151" width="12.25" style="1503" customWidth="1"/>
    <col min="6152" max="6152" width="11" style="1503" customWidth="1"/>
    <col min="6153" max="6153" width="12.625" style="1503" customWidth="1"/>
    <col min="6154" max="6154" width="12.875" style="1503" customWidth="1"/>
    <col min="6155" max="6402" width="9" style="1503"/>
    <col min="6403" max="6403" width="4.875" style="1503" customWidth="1"/>
    <col min="6404" max="6404" width="12.375" style="1503" customWidth="1"/>
    <col min="6405" max="6405" width="31.75" style="1503" customWidth="1"/>
    <col min="6406" max="6406" width="12.625" style="1503" customWidth="1"/>
    <col min="6407" max="6407" width="12.25" style="1503" customWidth="1"/>
    <col min="6408" max="6408" width="11" style="1503" customWidth="1"/>
    <col min="6409" max="6409" width="12.625" style="1503" customWidth="1"/>
    <col min="6410" max="6410" width="12.875" style="1503" customWidth="1"/>
    <col min="6411" max="6658" width="9" style="1503"/>
    <col min="6659" max="6659" width="4.875" style="1503" customWidth="1"/>
    <col min="6660" max="6660" width="12.375" style="1503" customWidth="1"/>
    <col min="6661" max="6661" width="31.75" style="1503" customWidth="1"/>
    <col min="6662" max="6662" width="12.625" style="1503" customWidth="1"/>
    <col min="6663" max="6663" width="12.25" style="1503" customWidth="1"/>
    <col min="6664" max="6664" width="11" style="1503" customWidth="1"/>
    <col min="6665" max="6665" width="12.625" style="1503" customWidth="1"/>
    <col min="6666" max="6666" width="12.875" style="1503" customWidth="1"/>
    <col min="6667" max="6914" width="9" style="1503"/>
    <col min="6915" max="6915" width="4.875" style="1503" customWidth="1"/>
    <col min="6916" max="6916" width="12.375" style="1503" customWidth="1"/>
    <col min="6917" max="6917" width="31.75" style="1503" customWidth="1"/>
    <col min="6918" max="6918" width="12.625" style="1503" customWidth="1"/>
    <col min="6919" max="6919" width="12.25" style="1503" customWidth="1"/>
    <col min="6920" max="6920" width="11" style="1503" customWidth="1"/>
    <col min="6921" max="6921" width="12.625" style="1503" customWidth="1"/>
    <col min="6922" max="6922" width="12.875" style="1503" customWidth="1"/>
    <col min="6923" max="7170" width="9" style="1503"/>
    <col min="7171" max="7171" width="4.875" style="1503" customWidth="1"/>
    <col min="7172" max="7172" width="12.375" style="1503" customWidth="1"/>
    <col min="7173" max="7173" width="31.75" style="1503" customWidth="1"/>
    <col min="7174" max="7174" width="12.625" style="1503" customWidth="1"/>
    <col min="7175" max="7175" width="12.25" style="1503" customWidth="1"/>
    <col min="7176" max="7176" width="11" style="1503" customWidth="1"/>
    <col min="7177" max="7177" width="12.625" style="1503" customWidth="1"/>
    <col min="7178" max="7178" width="12.875" style="1503" customWidth="1"/>
    <col min="7179" max="7426" width="9" style="1503"/>
    <col min="7427" max="7427" width="4.875" style="1503" customWidth="1"/>
    <col min="7428" max="7428" width="12.375" style="1503" customWidth="1"/>
    <col min="7429" max="7429" width="31.75" style="1503" customWidth="1"/>
    <col min="7430" max="7430" width="12.625" style="1503" customWidth="1"/>
    <col min="7431" max="7431" width="12.25" style="1503" customWidth="1"/>
    <col min="7432" max="7432" width="11" style="1503" customWidth="1"/>
    <col min="7433" max="7433" width="12.625" style="1503" customWidth="1"/>
    <col min="7434" max="7434" width="12.875" style="1503" customWidth="1"/>
    <col min="7435" max="7682" width="9" style="1503"/>
    <col min="7683" max="7683" width="4.875" style="1503" customWidth="1"/>
    <col min="7684" max="7684" width="12.375" style="1503" customWidth="1"/>
    <col min="7685" max="7685" width="31.75" style="1503" customWidth="1"/>
    <col min="7686" max="7686" width="12.625" style="1503" customWidth="1"/>
    <col min="7687" max="7687" width="12.25" style="1503" customWidth="1"/>
    <col min="7688" max="7688" width="11" style="1503" customWidth="1"/>
    <col min="7689" max="7689" width="12.625" style="1503" customWidth="1"/>
    <col min="7690" max="7690" width="12.875" style="1503" customWidth="1"/>
    <col min="7691" max="7938" width="9" style="1503"/>
    <col min="7939" max="7939" width="4.875" style="1503" customWidth="1"/>
    <col min="7940" max="7940" width="12.375" style="1503" customWidth="1"/>
    <col min="7941" max="7941" width="31.75" style="1503" customWidth="1"/>
    <col min="7942" max="7942" width="12.625" style="1503" customWidth="1"/>
    <col min="7943" max="7943" width="12.25" style="1503" customWidth="1"/>
    <col min="7944" max="7944" width="11" style="1503" customWidth="1"/>
    <col min="7945" max="7945" width="12.625" style="1503" customWidth="1"/>
    <col min="7946" max="7946" width="12.875" style="1503" customWidth="1"/>
    <col min="7947" max="8194" width="9" style="1503"/>
    <col min="8195" max="8195" width="4.875" style="1503" customWidth="1"/>
    <col min="8196" max="8196" width="12.375" style="1503" customWidth="1"/>
    <col min="8197" max="8197" width="31.75" style="1503" customWidth="1"/>
    <col min="8198" max="8198" width="12.625" style="1503" customWidth="1"/>
    <col min="8199" max="8199" width="12.25" style="1503" customWidth="1"/>
    <col min="8200" max="8200" width="11" style="1503" customWidth="1"/>
    <col min="8201" max="8201" width="12.625" style="1503" customWidth="1"/>
    <col min="8202" max="8202" width="12.875" style="1503" customWidth="1"/>
    <col min="8203" max="8450" width="9" style="1503"/>
    <col min="8451" max="8451" width="4.875" style="1503" customWidth="1"/>
    <col min="8452" max="8452" width="12.375" style="1503" customWidth="1"/>
    <col min="8453" max="8453" width="31.75" style="1503" customWidth="1"/>
    <col min="8454" max="8454" width="12.625" style="1503" customWidth="1"/>
    <col min="8455" max="8455" width="12.25" style="1503" customWidth="1"/>
    <col min="8456" max="8456" width="11" style="1503" customWidth="1"/>
    <col min="8457" max="8457" width="12.625" style="1503" customWidth="1"/>
    <col min="8458" max="8458" width="12.875" style="1503" customWidth="1"/>
    <col min="8459" max="8706" width="9" style="1503"/>
    <col min="8707" max="8707" width="4.875" style="1503" customWidth="1"/>
    <col min="8708" max="8708" width="12.375" style="1503" customWidth="1"/>
    <col min="8709" max="8709" width="31.75" style="1503" customWidth="1"/>
    <col min="8710" max="8710" width="12.625" style="1503" customWidth="1"/>
    <col min="8711" max="8711" width="12.25" style="1503" customWidth="1"/>
    <col min="8712" max="8712" width="11" style="1503" customWidth="1"/>
    <col min="8713" max="8713" width="12.625" style="1503" customWidth="1"/>
    <col min="8714" max="8714" width="12.875" style="1503" customWidth="1"/>
    <col min="8715" max="8962" width="9" style="1503"/>
    <col min="8963" max="8963" width="4.875" style="1503" customWidth="1"/>
    <col min="8964" max="8964" width="12.375" style="1503" customWidth="1"/>
    <col min="8965" max="8965" width="31.75" style="1503" customWidth="1"/>
    <col min="8966" max="8966" width="12.625" style="1503" customWidth="1"/>
    <col min="8967" max="8967" width="12.25" style="1503" customWidth="1"/>
    <col min="8968" max="8968" width="11" style="1503" customWidth="1"/>
    <col min="8969" max="8969" width="12.625" style="1503" customWidth="1"/>
    <col min="8970" max="8970" width="12.875" style="1503" customWidth="1"/>
    <col min="8971" max="9218" width="9" style="1503"/>
    <col min="9219" max="9219" width="4.875" style="1503" customWidth="1"/>
    <col min="9220" max="9220" width="12.375" style="1503" customWidth="1"/>
    <col min="9221" max="9221" width="31.75" style="1503" customWidth="1"/>
    <col min="9222" max="9222" width="12.625" style="1503" customWidth="1"/>
    <col min="9223" max="9223" width="12.25" style="1503" customWidth="1"/>
    <col min="9224" max="9224" width="11" style="1503" customWidth="1"/>
    <col min="9225" max="9225" width="12.625" style="1503" customWidth="1"/>
    <col min="9226" max="9226" width="12.875" style="1503" customWidth="1"/>
    <col min="9227" max="9474" width="9" style="1503"/>
    <col min="9475" max="9475" width="4.875" style="1503" customWidth="1"/>
    <col min="9476" max="9476" width="12.375" style="1503" customWidth="1"/>
    <col min="9477" max="9477" width="31.75" style="1503" customWidth="1"/>
    <col min="9478" max="9478" width="12.625" style="1503" customWidth="1"/>
    <col min="9479" max="9479" width="12.25" style="1503" customWidth="1"/>
    <col min="9480" max="9480" width="11" style="1503" customWidth="1"/>
    <col min="9481" max="9481" width="12.625" style="1503" customWidth="1"/>
    <col min="9482" max="9482" width="12.875" style="1503" customWidth="1"/>
    <col min="9483" max="9730" width="9" style="1503"/>
    <col min="9731" max="9731" width="4.875" style="1503" customWidth="1"/>
    <col min="9732" max="9732" width="12.375" style="1503" customWidth="1"/>
    <col min="9733" max="9733" width="31.75" style="1503" customWidth="1"/>
    <col min="9734" max="9734" width="12.625" style="1503" customWidth="1"/>
    <col min="9735" max="9735" width="12.25" style="1503" customWidth="1"/>
    <col min="9736" max="9736" width="11" style="1503" customWidth="1"/>
    <col min="9737" max="9737" width="12.625" style="1503" customWidth="1"/>
    <col min="9738" max="9738" width="12.875" style="1503" customWidth="1"/>
    <col min="9739" max="9986" width="9" style="1503"/>
    <col min="9987" max="9987" width="4.875" style="1503" customWidth="1"/>
    <col min="9988" max="9988" width="12.375" style="1503" customWidth="1"/>
    <col min="9989" max="9989" width="31.75" style="1503" customWidth="1"/>
    <col min="9990" max="9990" width="12.625" style="1503" customWidth="1"/>
    <col min="9991" max="9991" width="12.25" style="1503" customWidth="1"/>
    <col min="9992" max="9992" width="11" style="1503" customWidth="1"/>
    <col min="9993" max="9993" width="12.625" style="1503" customWidth="1"/>
    <col min="9994" max="9994" width="12.875" style="1503" customWidth="1"/>
    <col min="9995" max="10242" width="9" style="1503"/>
    <col min="10243" max="10243" width="4.875" style="1503" customWidth="1"/>
    <col min="10244" max="10244" width="12.375" style="1503" customWidth="1"/>
    <col min="10245" max="10245" width="31.75" style="1503" customWidth="1"/>
    <col min="10246" max="10246" width="12.625" style="1503" customWidth="1"/>
    <col min="10247" max="10247" width="12.25" style="1503" customWidth="1"/>
    <col min="10248" max="10248" width="11" style="1503" customWidth="1"/>
    <col min="10249" max="10249" width="12.625" style="1503" customWidth="1"/>
    <col min="10250" max="10250" width="12.875" style="1503" customWidth="1"/>
    <col min="10251" max="10498" width="9" style="1503"/>
    <col min="10499" max="10499" width="4.875" style="1503" customWidth="1"/>
    <col min="10500" max="10500" width="12.375" style="1503" customWidth="1"/>
    <col min="10501" max="10501" width="31.75" style="1503" customWidth="1"/>
    <col min="10502" max="10502" width="12.625" style="1503" customWidth="1"/>
    <col min="10503" max="10503" width="12.25" style="1503" customWidth="1"/>
    <col min="10504" max="10504" width="11" style="1503" customWidth="1"/>
    <col min="10505" max="10505" width="12.625" style="1503" customWidth="1"/>
    <col min="10506" max="10506" width="12.875" style="1503" customWidth="1"/>
    <col min="10507" max="10754" width="9" style="1503"/>
    <col min="10755" max="10755" width="4.875" style="1503" customWidth="1"/>
    <col min="10756" max="10756" width="12.375" style="1503" customWidth="1"/>
    <col min="10757" max="10757" width="31.75" style="1503" customWidth="1"/>
    <col min="10758" max="10758" width="12.625" style="1503" customWidth="1"/>
    <col min="10759" max="10759" width="12.25" style="1503" customWidth="1"/>
    <col min="10760" max="10760" width="11" style="1503" customWidth="1"/>
    <col min="10761" max="10761" width="12.625" style="1503" customWidth="1"/>
    <col min="10762" max="10762" width="12.875" style="1503" customWidth="1"/>
    <col min="10763" max="11010" width="9" style="1503"/>
    <col min="11011" max="11011" width="4.875" style="1503" customWidth="1"/>
    <col min="11012" max="11012" width="12.375" style="1503" customWidth="1"/>
    <col min="11013" max="11013" width="31.75" style="1503" customWidth="1"/>
    <col min="11014" max="11014" width="12.625" style="1503" customWidth="1"/>
    <col min="11015" max="11015" width="12.25" style="1503" customWidth="1"/>
    <col min="11016" max="11016" width="11" style="1503" customWidth="1"/>
    <col min="11017" max="11017" width="12.625" style="1503" customWidth="1"/>
    <col min="11018" max="11018" width="12.875" style="1503" customWidth="1"/>
    <col min="11019" max="11266" width="9" style="1503"/>
    <col min="11267" max="11267" width="4.875" style="1503" customWidth="1"/>
    <col min="11268" max="11268" width="12.375" style="1503" customWidth="1"/>
    <col min="11269" max="11269" width="31.75" style="1503" customWidth="1"/>
    <col min="11270" max="11270" width="12.625" style="1503" customWidth="1"/>
    <col min="11271" max="11271" width="12.25" style="1503" customWidth="1"/>
    <col min="11272" max="11272" width="11" style="1503" customWidth="1"/>
    <col min="11273" max="11273" width="12.625" style="1503" customWidth="1"/>
    <col min="11274" max="11274" width="12.875" style="1503" customWidth="1"/>
    <col min="11275" max="11522" width="9" style="1503"/>
    <col min="11523" max="11523" width="4.875" style="1503" customWidth="1"/>
    <col min="11524" max="11524" width="12.375" style="1503" customWidth="1"/>
    <col min="11525" max="11525" width="31.75" style="1503" customWidth="1"/>
    <col min="11526" max="11526" width="12.625" style="1503" customWidth="1"/>
    <col min="11527" max="11527" width="12.25" style="1503" customWidth="1"/>
    <col min="11528" max="11528" width="11" style="1503" customWidth="1"/>
    <col min="11529" max="11529" width="12.625" style="1503" customWidth="1"/>
    <col min="11530" max="11530" width="12.875" style="1503" customWidth="1"/>
    <col min="11531" max="11778" width="9" style="1503"/>
    <col min="11779" max="11779" width="4.875" style="1503" customWidth="1"/>
    <col min="11780" max="11780" width="12.375" style="1503" customWidth="1"/>
    <col min="11781" max="11781" width="31.75" style="1503" customWidth="1"/>
    <col min="11782" max="11782" width="12.625" style="1503" customWidth="1"/>
    <col min="11783" max="11783" width="12.25" style="1503" customWidth="1"/>
    <col min="11784" max="11784" width="11" style="1503" customWidth="1"/>
    <col min="11785" max="11785" width="12.625" style="1503" customWidth="1"/>
    <col min="11786" max="11786" width="12.875" style="1503" customWidth="1"/>
    <col min="11787" max="12034" width="9" style="1503"/>
    <col min="12035" max="12035" width="4.875" style="1503" customWidth="1"/>
    <col min="12036" max="12036" width="12.375" style="1503" customWidth="1"/>
    <col min="12037" max="12037" width="31.75" style="1503" customWidth="1"/>
    <col min="12038" max="12038" width="12.625" style="1503" customWidth="1"/>
    <col min="12039" max="12039" width="12.25" style="1503" customWidth="1"/>
    <col min="12040" max="12040" width="11" style="1503" customWidth="1"/>
    <col min="12041" max="12041" width="12.625" style="1503" customWidth="1"/>
    <col min="12042" max="12042" width="12.875" style="1503" customWidth="1"/>
    <col min="12043" max="12290" width="9" style="1503"/>
    <col min="12291" max="12291" width="4.875" style="1503" customWidth="1"/>
    <col min="12292" max="12292" width="12.375" style="1503" customWidth="1"/>
    <col min="12293" max="12293" width="31.75" style="1503" customWidth="1"/>
    <col min="12294" max="12294" width="12.625" style="1503" customWidth="1"/>
    <col min="12295" max="12295" width="12.25" style="1503" customWidth="1"/>
    <col min="12296" max="12296" width="11" style="1503" customWidth="1"/>
    <col min="12297" max="12297" width="12.625" style="1503" customWidth="1"/>
    <col min="12298" max="12298" width="12.875" style="1503" customWidth="1"/>
    <col min="12299" max="12546" width="9" style="1503"/>
    <col min="12547" max="12547" width="4.875" style="1503" customWidth="1"/>
    <col min="12548" max="12548" width="12.375" style="1503" customWidth="1"/>
    <col min="12549" max="12549" width="31.75" style="1503" customWidth="1"/>
    <col min="12550" max="12550" width="12.625" style="1503" customWidth="1"/>
    <col min="12551" max="12551" width="12.25" style="1503" customWidth="1"/>
    <col min="12552" max="12552" width="11" style="1503" customWidth="1"/>
    <col min="12553" max="12553" width="12.625" style="1503" customWidth="1"/>
    <col min="12554" max="12554" width="12.875" style="1503" customWidth="1"/>
    <col min="12555" max="12802" width="9" style="1503"/>
    <col min="12803" max="12803" width="4.875" style="1503" customWidth="1"/>
    <col min="12804" max="12804" width="12.375" style="1503" customWidth="1"/>
    <col min="12805" max="12805" width="31.75" style="1503" customWidth="1"/>
    <col min="12806" max="12806" width="12.625" style="1503" customWidth="1"/>
    <col min="12807" max="12807" width="12.25" style="1503" customWidth="1"/>
    <col min="12808" max="12808" width="11" style="1503" customWidth="1"/>
    <col min="12809" max="12809" width="12.625" style="1503" customWidth="1"/>
    <col min="12810" max="12810" width="12.875" style="1503" customWidth="1"/>
    <col min="12811" max="13058" width="9" style="1503"/>
    <col min="13059" max="13059" width="4.875" style="1503" customWidth="1"/>
    <col min="13060" max="13060" width="12.375" style="1503" customWidth="1"/>
    <col min="13061" max="13061" width="31.75" style="1503" customWidth="1"/>
    <col min="13062" max="13062" width="12.625" style="1503" customWidth="1"/>
    <col min="13063" max="13063" width="12.25" style="1503" customWidth="1"/>
    <col min="13064" max="13064" width="11" style="1503" customWidth="1"/>
    <col min="13065" max="13065" width="12.625" style="1503" customWidth="1"/>
    <col min="13066" max="13066" width="12.875" style="1503" customWidth="1"/>
    <col min="13067" max="13314" width="9" style="1503"/>
    <col min="13315" max="13315" width="4.875" style="1503" customWidth="1"/>
    <col min="13316" max="13316" width="12.375" style="1503" customWidth="1"/>
    <col min="13317" max="13317" width="31.75" style="1503" customWidth="1"/>
    <col min="13318" max="13318" width="12.625" style="1503" customWidth="1"/>
    <col min="13319" max="13319" width="12.25" style="1503" customWidth="1"/>
    <col min="13320" max="13320" width="11" style="1503" customWidth="1"/>
    <col min="13321" max="13321" width="12.625" style="1503" customWidth="1"/>
    <col min="13322" max="13322" width="12.875" style="1503" customWidth="1"/>
    <col min="13323" max="13570" width="9" style="1503"/>
    <col min="13571" max="13571" width="4.875" style="1503" customWidth="1"/>
    <col min="13572" max="13572" width="12.375" style="1503" customWidth="1"/>
    <col min="13573" max="13573" width="31.75" style="1503" customWidth="1"/>
    <col min="13574" max="13574" width="12.625" style="1503" customWidth="1"/>
    <col min="13575" max="13575" width="12.25" style="1503" customWidth="1"/>
    <col min="13576" max="13576" width="11" style="1503" customWidth="1"/>
    <col min="13577" max="13577" width="12.625" style="1503" customWidth="1"/>
    <col min="13578" max="13578" width="12.875" style="1503" customWidth="1"/>
    <col min="13579" max="13826" width="9" style="1503"/>
    <col min="13827" max="13827" width="4.875" style="1503" customWidth="1"/>
    <col min="13828" max="13828" width="12.375" style="1503" customWidth="1"/>
    <col min="13829" max="13829" width="31.75" style="1503" customWidth="1"/>
    <col min="13830" max="13830" width="12.625" style="1503" customWidth="1"/>
    <col min="13831" max="13831" width="12.25" style="1503" customWidth="1"/>
    <col min="13832" max="13832" width="11" style="1503" customWidth="1"/>
    <col min="13833" max="13833" width="12.625" style="1503" customWidth="1"/>
    <col min="13834" max="13834" width="12.875" style="1503" customWidth="1"/>
    <col min="13835" max="14082" width="9" style="1503"/>
    <col min="14083" max="14083" width="4.875" style="1503" customWidth="1"/>
    <col min="14084" max="14084" width="12.375" style="1503" customWidth="1"/>
    <col min="14085" max="14085" width="31.75" style="1503" customWidth="1"/>
    <col min="14086" max="14086" width="12.625" style="1503" customWidth="1"/>
    <col min="14087" max="14087" width="12.25" style="1503" customWidth="1"/>
    <col min="14088" max="14088" width="11" style="1503" customWidth="1"/>
    <col min="14089" max="14089" width="12.625" style="1503" customWidth="1"/>
    <col min="14090" max="14090" width="12.875" style="1503" customWidth="1"/>
    <col min="14091" max="14338" width="9" style="1503"/>
    <col min="14339" max="14339" width="4.875" style="1503" customWidth="1"/>
    <col min="14340" max="14340" width="12.375" style="1503" customWidth="1"/>
    <col min="14341" max="14341" width="31.75" style="1503" customWidth="1"/>
    <col min="14342" max="14342" width="12.625" style="1503" customWidth="1"/>
    <col min="14343" max="14343" width="12.25" style="1503" customWidth="1"/>
    <col min="14344" max="14344" width="11" style="1503" customWidth="1"/>
    <col min="14345" max="14345" width="12.625" style="1503" customWidth="1"/>
    <col min="14346" max="14346" width="12.875" style="1503" customWidth="1"/>
    <col min="14347" max="14594" width="9" style="1503"/>
    <col min="14595" max="14595" width="4.875" style="1503" customWidth="1"/>
    <col min="14596" max="14596" width="12.375" style="1503" customWidth="1"/>
    <col min="14597" max="14597" width="31.75" style="1503" customWidth="1"/>
    <col min="14598" max="14598" width="12.625" style="1503" customWidth="1"/>
    <col min="14599" max="14599" width="12.25" style="1503" customWidth="1"/>
    <col min="14600" max="14600" width="11" style="1503" customWidth="1"/>
    <col min="14601" max="14601" width="12.625" style="1503" customWidth="1"/>
    <col min="14602" max="14602" width="12.875" style="1503" customWidth="1"/>
    <col min="14603" max="14850" width="9" style="1503"/>
    <col min="14851" max="14851" width="4.875" style="1503" customWidth="1"/>
    <col min="14852" max="14852" width="12.375" style="1503" customWidth="1"/>
    <col min="14853" max="14853" width="31.75" style="1503" customWidth="1"/>
    <col min="14854" max="14854" width="12.625" style="1503" customWidth="1"/>
    <col min="14855" max="14855" width="12.25" style="1503" customWidth="1"/>
    <col min="14856" max="14856" width="11" style="1503" customWidth="1"/>
    <col min="14857" max="14857" width="12.625" style="1503" customWidth="1"/>
    <col min="14858" max="14858" width="12.875" style="1503" customWidth="1"/>
    <col min="14859" max="15106" width="9" style="1503"/>
    <col min="15107" max="15107" width="4.875" style="1503" customWidth="1"/>
    <col min="15108" max="15108" width="12.375" style="1503" customWidth="1"/>
    <col min="15109" max="15109" width="31.75" style="1503" customWidth="1"/>
    <col min="15110" max="15110" width="12.625" style="1503" customWidth="1"/>
    <col min="15111" max="15111" width="12.25" style="1503" customWidth="1"/>
    <col min="15112" max="15112" width="11" style="1503" customWidth="1"/>
    <col min="15113" max="15113" width="12.625" style="1503" customWidth="1"/>
    <col min="15114" max="15114" width="12.875" style="1503" customWidth="1"/>
    <col min="15115" max="15362" width="9" style="1503"/>
    <col min="15363" max="15363" width="4.875" style="1503" customWidth="1"/>
    <col min="15364" max="15364" width="12.375" style="1503" customWidth="1"/>
    <col min="15365" max="15365" width="31.75" style="1503" customWidth="1"/>
    <col min="15366" max="15366" width="12.625" style="1503" customWidth="1"/>
    <col min="15367" max="15367" width="12.25" style="1503" customWidth="1"/>
    <col min="15368" max="15368" width="11" style="1503" customWidth="1"/>
    <col min="15369" max="15369" width="12.625" style="1503" customWidth="1"/>
    <col min="15370" max="15370" width="12.875" style="1503" customWidth="1"/>
    <col min="15371" max="15618" width="9" style="1503"/>
    <col min="15619" max="15619" width="4.875" style="1503" customWidth="1"/>
    <col min="15620" max="15620" width="12.375" style="1503" customWidth="1"/>
    <col min="15621" max="15621" width="31.75" style="1503" customWidth="1"/>
    <col min="15622" max="15622" width="12.625" style="1503" customWidth="1"/>
    <col min="15623" max="15623" width="12.25" style="1503" customWidth="1"/>
    <col min="15624" max="15624" width="11" style="1503" customWidth="1"/>
    <col min="15625" max="15625" width="12.625" style="1503" customWidth="1"/>
    <col min="15626" max="15626" width="12.875" style="1503" customWidth="1"/>
    <col min="15627" max="15874" width="9" style="1503"/>
    <col min="15875" max="15875" width="4.875" style="1503" customWidth="1"/>
    <col min="15876" max="15876" width="12.375" style="1503" customWidth="1"/>
    <col min="15877" max="15877" width="31.75" style="1503" customWidth="1"/>
    <col min="15878" max="15878" width="12.625" style="1503" customWidth="1"/>
    <col min="15879" max="15879" width="12.25" style="1503" customWidth="1"/>
    <col min="15880" max="15880" width="11" style="1503" customWidth="1"/>
    <col min="15881" max="15881" width="12.625" style="1503" customWidth="1"/>
    <col min="15882" max="15882" width="12.875" style="1503" customWidth="1"/>
    <col min="15883" max="16130" width="9" style="1503"/>
    <col min="16131" max="16131" width="4.875" style="1503" customWidth="1"/>
    <col min="16132" max="16132" width="12.375" style="1503" customWidth="1"/>
    <col min="16133" max="16133" width="31.75" style="1503" customWidth="1"/>
    <col min="16134" max="16134" width="12.625" style="1503" customWidth="1"/>
    <col min="16135" max="16135" width="12.25" style="1503" customWidth="1"/>
    <col min="16136" max="16136" width="11" style="1503" customWidth="1"/>
    <col min="16137" max="16137" width="12.625" style="1503" customWidth="1"/>
    <col min="16138" max="16138" width="12.875" style="1503" customWidth="1"/>
    <col min="16139" max="16384" width="9" style="1503"/>
  </cols>
  <sheetData>
    <row r="2" spans="2:18" s="1144" customFormat="1" ht="20.25" x14ac:dyDescent="0.3">
      <c r="B2" s="1143" t="s">
        <v>905</v>
      </c>
      <c r="C2" s="1526"/>
      <c r="D2" s="1526"/>
      <c r="E2" s="1527"/>
      <c r="F2" s="1528"/>
      <c r="G2" s="1528"/>
      <c r="H2" s="1146"/>
      <c r="I2" s="1146"/>
      <c r="L2" s="1147"/>
      <c r="M2" s="1147"/>
      <c r="N2" s="1147"/>
      <c r="O2" s="1147"/>
      <c r="P2" s="1147"/>
      <c r="Q2" s="1147"/>
      <c r="R2" s="1147"/>
    </row>
    <row r="3" spans="2:18" s="1144" customFormat="1" ht="18" x14ac:dyDescent="0.25">
      <c r="B3" s="1149" t="s">
        <v>896</v>
      </c>
      <c r="F3" s="1145"/>
      <c r="G3" s="1145"/>
      <c r="H3" s="1146"/>
      <c r="I3" s="1146"/>
      <c r="L3" s="1147"/>
      <c r="M3" s="1147"/>
      <c r="N3" s="1147"/>
      <c r="O3" s="1147"/>
      <c r="P3" s="1147"/>
      <c r="Q3" s="1147"/>
      <c r="R3" s="1147"/>
    </row>
    <row r="4" spans="2:18" s="1144" customFormat="1" ht="9.75" customHeight="1" x14ac:dyDescent="0.2">
      <c r="F4" s="1146"/>
      <c r="G4" s="1146"/>
      <c r="H4" s="1146"/>
      <c r="I4" s="1146"/>
      <c r="L4" s="1147"/>
      <c r="M4" s="1147"/>
      <c r="N4" s="1147"/>
      <c r="O4" s="1147"/>
      <c r="P4" s="1147"/>
      <c r="Q4" s="1147"/>
      <c r="R4" s="1147"/>
    </row>
    <row r="5" spans="2:18" s="1144" customFormat="1" ht="18" x14ac:dyDescent="0.25">
      <c r="B5" s="2948" t="s">
        <v>906</v>
      </c>
      <c r="C5" s="2949"/>
      <c r="D5" s="2949"/>
      <c r="E5" s="2949"/>
      <c r="F5" s="2949"/>
      <c r="G5" s="2949"/>
      <c r="H5" s="2949"/>
      <c r="I5" s="2949"/>
      <c r="J5" s="2950"/>
      <c r="L5" s="1147"/>
      <c r="M5" s="1147"/>
      <c r="N5" s="1147"/>
      <c r="O5" s="1147"/>
      <c r="P5" s="1147"/>
      <c r="Q5" s="1147"/>
      <c r="R5" s="1147"/>
    </row>
    <row r="6" spans="2:18" s="1144" customFormat="1" ht="30" x14ac:dyDescent="0.2">
      <c r="B6" s="1150" t="s">
        <v>620</v>
      </c>
      <c r="C6" s="3098" t="s">
        <v>621</v>
      </c>
      <c r="D6" s="3098"/>
      <c r="E6" s="3098"/>
      <c r="F6" s="3098"/>
      <c r="G6" s="3098"/>
      <c r="H6" s="3098"/>
      <c r="I6" s="1152" t="s">
        <v>622</v>
      </c>
      <c r="J6" s="1153" t="s">
        <v>451</v>
      </c>
      <c r="L6" s="1147"/>
      <c r="M6" s="1147"/>
      <c r="N6" s="1147"/>
      <c r="O6" s="1147"/>
      <c r="P6" s="1147"/>
      <c r="Q6" s="1147"/>
      <c r="R6" s="1147"/>
    </row>
    <row r="7" spans="2:18" s="1144" customFormat="1" ht="30" customHeight="1" x14ac:dyDescent="0.2">
      <c r="B7" s="1157">
        <v>1</v>
      </c>
      <c r="C7" s="3099" t="s">
        <v>907</v>
      </c>
      <c r="D7" s="3099"/>
      <c r="E7" s="3099"/>
      <c r="F7" s="3099"/>
      <c r="G7" s="3099"/>
      <c r="H7" s="3099"/>
      <c r="I7" s="1529" t="str">
        <f>IF(M13&lt;&gt;0,"มี","ไม่มี")</f>
        <v>มี</v>
      </c>
      <c r="J7" s="1530">
        <f>IF(I7="มี",2.5,0)</f>
        <v>2.5</v>
      </c>
      <c r="L7" s="1147"/>
      <c r="M7" s="1147"/>
      <c r="N7" s="1147"/>
      <c r="O7" s="1147"/>
      <c r="P7" s="1147"/>
      <c r="Q7" s="1147"/>
      <c r="R7" s="1147"/>
    </row>
    <row r="8" spans="2:18" s="1144" customFormat="1" ht="28.5" customHeight="1" x14ac:dyDescent="0.2">
      <c r="B8" s="3100">
        <v>2</v>
      </c>
      <c r="C8" s="3102" t="s">
        <v>908</v>
      </c>
      <c r="D8" s="3102"/>
      <c r="E8" s="3102"/>
      <c r="F8" s="3102"/>
      <c r="G8" s="3102"/>
      <c r="H8" s="3102"/>
      <c r="I8" s="1531"/>
      <c r="J8" s="3103">
        <f>IF(OR(M8=TRUE,M9=TRUE),2.5,0)</f>
        <v>2.5</v>
      </c>
      <c r="L8" s="1147"/>
      <c r="M8" s="1147" t="b">
        <v>0</v>
      </c>
      <c r="N8" s="1147"/>
      <c r="O8" s="1147"/>
      <c r="P8" s="1147"/>
      <c r="Q8" s="1147"/>
      <c r="R8" s="1147"/>
    </row>
    <row r="9" spans="2:18" s="1144" customFormat="1" ht="28.5" customHeight="1" x14ac:dyDescent="0.2">
      <c r="B9" s="3101"/>
      <c r="C9" s="3105" t="s">
        <v>909</v>
      </c>
      <c r="D9" s="3105"/>
      <c r="E9" s="3105"/>
      <c r="F9" s="3105"/>
      <c r="G9" s="3105"/>
      <c r="H9" s="3105"/>
      <c r="I9" s="1532"/>
      <c r="J9" s="3104"/>
      <c r="L9" s="1147"/>
      <c r="M9" s="1147" t="b">
        <v>1</v>
      </c>
      <c r="N9" s="1147"/>
      <c r="O9" s="1147"/>
      <c r="P9" s="1147"/>
      <c r="Q9" s="1147"/>
      <c r="R9" s="1147"/>
    </row>
    <row r="10" spans="2:18" s="1144" customFormat="1" ht="21.75" customHeight="1" x14ac:dyDescent="0.2">
      <c r="B10" s="2956" t="s">
        <v>599</v>
      </c>
      <c r="C10" s="2957"/>
      <c r="D10" s="2957"/>
      <c r="E10" s="2957"/>
      <c r="F10" s="2957"/>
      <c r="G10" s="2957"/>
      <c r="H10" s="2957"/>
      <c r="I10" s="2958"/>
      <c r="J10" s="1171">
        <f>SUM(J7:J8)</f>
        <v>5</v>
      </c>
      <c r="L10" s="1147"/>
      <c r="M10" s="1147"/>
      <c r="N10" s="1147"/>
      <c r="O10" s="1147"/>
      <c r="P10" s="1147"/>
      <c r="Q10" s="1147"/>
      <c r="R10" s="1147"/>
    </row>
    <row r="11" spans="2:18" s="1144" customFormat="1" ht="18.75" customHeight="1" x14ac:dyDescent="0.2">
      <c r="F11" s="1146"/>
      <c r="G11" s="1146"/>
      <c r="H11" s="1146"/>
      <c r="I11" s="1146"/>
      <c r="L11" s="1147"/>
      <c r="M11" s="1147"/>
      <c r="N11" s="1147"/>
      <c r="O11" s="1147"/>
      <c r="P11" s="1147"/>
      <c r="Q11" s="1147"/>
      <c r="R11" s="1147"/>
    </row>
    <row r="12" spans="2:18" s="1144" customFormat="1" ht="18" x14ac:dyDescent="0.25">
      <c r="B12" s="2948" t="s">
        <v>910</v>
      </c>
      <c r="C12" s="2949"/>
      <c r="D12" s="2949"/>
      <c r="E12" s="2949"/>
      <c r="F12" s="2949"/>
      <c r="G12" s="2949"/>
      <c r="H12" s="2949"/>
      <c r="I12" s="2949"/>
      <c r="J12" s="2950"/>
      <c r="L12" s="1147"/>
      <c r="M12" s="1654">
        <v>241336</v>
      </c>
      <c r="N12" s="1654">
        <v>241700</v>
      </c>
      <c r="O12" s="1147"/>
      <c r="P12" s="1147"/>
      <c r="Q12" s="1147"/>
      <c r="R12" s="1147"/>
    </row>
    <row r="13" spans="2:18" s="1144" customFormat="1" ht="21" customHeight="1" x14ac:dyDescent="0.25">
      <c r="B13" s="1533" t="s">
        <v>911</v>
      </c>
      <c r="C13" s="1534"/>
      <c r="D13" s="1534"/>
      <c r="E13" s="1174"/>
      <c r="F13" s="1176"/>
      <c r="G13" s="1176"/>
      <c r="H13" s="1176"/>
      <c r="I13" s="1176"/>
      <c r="J13" s="1535"/>
      <c r="L13" s="1147"/>
      <c r="M13" s="1147">
        <f>G21+G42+G53+G69+G80+G91+G102+G113+G130+G156+G168+G179+G196+G207+G218+G229+G240+G257+G268+G286+G301+G320+G335+G343+G354+G365+G376+G389+G396+G406+G417+G428+G439+G461+G450</f>
        <v>1</v>
      </c>
      <c r="N13" s="1147"/>
      <c r="O13" s="1147"/>
      <c r="P13" s="1147"/>
      <c r="Q13" s="1147"/>
      <c r="R13" s="1147"/>
    </row>
    <row r="14" spans="2:18" s="1198" customFormat="1" ht="14.25" customHeight="1" x14ac:dyDescent="0.2">
      <c r="B14" s="1271"/>
      <c r="C14" s="3052" t="s">
        <v>862</v>
      </c>
      <c r="D14" s="3053"/>
      <c r="E14" s="3054"/>
      <c r="F14" s="1577" t="s">
        <v>1009</v>
      </c>
      <c r="G14" s="1577" t="s">
        <v>1010</v>
      </c>
      <c r="H14" s="1536" t="s">
        <v>638</v>
      </c>
      <c r="I14" s="1537" t="s">
        <v>639</v>
      </c>
      <c r="J14" s="1538" t="s">
        <v>639</v>
      </c>
      <c r="L14" s="1196"/>
      <c r="M14" s="1196"/>
      <c r="N14" s="1196"/>
      <c r="O14" s="1196"/>
      <c r="P14" s="1196"/>
      <c r="Q14" s="1196"/>
      <c r="R14" s="1196"/>
    </row>
    <row r="15" spans="2:18" s="1209" customFormat="1" x14ac:dyDescent="0.2">
      <c r="B15" s="1199"/>
      <c r="C15" s="1644"/>
      <c r="D15" s="1645"/>
      <c r="E15" s="1645"/>
      <c r="F15" s="1540" t="s">
        <v>1245</v>
      </c>
      <c r="G15" s="1540" t="s">
        <v>1245</v>
      </c>
      <c r="H15" s="1320" t="s">
        <v>644</v>
      </c>
      <c r="I15" s="1320" t="s">
        <v>641</v>
      </c>
      <c r="J15" s="1321" t="s">
        <v>510</v>
      </c>
      <c r="L15" s="1207"/>
      <c r="M15" s="1207"/>
      <c r="N15" s="1207"/>
      <c r="O15" s="1207"/>
      <c r="P15" s="1207"/>
      <c r="Q15" s="1207"/>
      <c r="R15" s="1207"/>
    </row>
    <row r="16" spans="2:18" s="1217" customFormat="1" x14ac:dyDescent="0.2">
      <c r="B16" s="1424" t="s">
        <v>839</v>
      </c>
      <c r="C16" s="3040"/>
      <c r="D16" s="3058"/>
      <c r="E16" s="3041"/>
      <c r="F16" s="2033"/>
      <c r="G16" s="2033"/>
      <c r="H16" s="1541">
        <v>120</v>
      </c>
      <c r="I16" s="1426">
        <f>IF(AND(C16&lt;&gt;"",F16&lt;&gt;""),H16,0)</f>
        <v>0</v>
      </c>
      <c r="J16" s="1390">
        <f>I16/15</f>
        <v>0</v>
      </c>
      <c r="L16" s="1216"/>
      <c r="M16" s="1216">
        <f>IF(F16&lt;&gt;"",IF(F16&lt;$M$12,0,1),0)</f>
        <v>0</v>
      </c>
      <c r="N16" s="1216">
        <f>IF(G16&lt;&gt;"",IF(G16&gt;$N$12,1,IF(G16&gt;=$M$12,1,0)),0)</f>
        <v>0</v>
      </c>
      <c r="O16" s="1216">
        <f>IF(OR(M16=1,N16=1),1,0)</f>
        <v>0</v>
      </c>
      <c r="P16" s="1216"/>
      <c r="Q16" s="1216"/>
      <c r="R16" s="1216"/>
    </row>
    <row r="17" spans="2:18" s="1217" customFormat="1" x14ac:dyDescent="0.2">
      <c r="B17" s="1424" t="s">
        <v>840</v>
      </c>
      <c r="C17" s="3040"/>
      <c r="D17" s="3058"/>
      <c r="E17" s="3041"/>
      <c r="F17" s="2033"/>
      <c r="G17" s="2033"/>
      <c r="H17" s="1541">
        <v>120</v>
      </c>
      <c r="I17" s="1426">
        <f t="shared" ref="I17:I20" si="0">IF(AND(C17&lt;&gt;"",F17&lt;&gt;""),H17,0)</f>
        <v>0</v>
      </c>
      <c r="J17" s="1390">
        <f>I17/15</f>
        <v>0</v>
      </c>
      <c r="L17" s="1216"/>
      <c r="M17" s="1216">
        <f t="shared" ref="M17:M20" si="1">IF(F17&lt;&gt;"",IF(F17&lt;$M$12,0,1),0)</f>
        <v>0</v>
      </c>
      <c r="N17" s="1216">
        <f t="shared" ref="N17:N20" si="2">IF(G17&lt;&gt;"",IF(G17&gt;$N$12,1,IF(G17&gt;=$M$12,1,0)),0)</f>
        <v>0</v>
      </c>
      <c r="O17" s="1216">
        <f t="shared" ref="O17:O20" si="3">IF(OR(M17=1,N17=1),1,0)</f>
        <v>0</v>
      </c>
      <c r="P17" s="1216"/>
      <c r="Q17" s="1216"/>
      <c r="R17" s="1216"/>
    </row>
    <row r="18" spans="2:18" s="1217" customFormat="1" x14ac:dyDescent="0.2">
      <c r="B18" s="1424" t="s">
        <v>841</v>
      </c>
      <c r="C18" s="3040"/>
      <c r="D18" s="3058"/>
      <c r="E18" s="3041"/>
      <c r="F18" s="2033"/>
      <c r="G18" s="2033"/>
      <c r="H18" s="1541">
        <v>120</v>
      </c>
      <c r="I18" s="1426">
        <f t="shared" si="0"/>
        <v>0</v>
      </c>
      <c r="J18" s="1390">
        <f>I18/15</f>
        <v>0</v>
      </c>
      <c r="L18" s="1216"/>
      <c r="M18" s="1216">
        <f t="shared" si="1"/>
        <v>0</v>
      </c>
      <c r="N18" s="1216">
        <f t="shared" si="2"/>
        <v>0</v>
      </c>
      <c r="O18" s="1216">
        <f t="shared" si="3"/>
        <v>0</v>
      </c>
      <c r="P18" s="1216"/>
      <c r="Q18" s="1216"/>
      <c r="R18" s="1216"/>
    </row>
    <row r="19" spans="2:18" s="1217" customFormat="1" x14ac:dyDescent="0.2">
      <c r="B19" s="1424" t="s">
        <v>842</v>
      </c>
      <c r="C19" s="3040"/>
      <c r="D19" s="3058"/>
      <c r="E19" s="3041"/>
      <c r="F19" s="2033"/>
      <c r="G19" s="2033"/>
      <c r="H19" s="1541">
        <v>120</v>
      </c>
      <c r="I19" s="1426">
        <f t="shared" si="0"/>
        <v>0</v>
      </c>
      <c r="J19" s="1390">
        <f>I19/15</f>
        <v>0</v>
      </c>
      <c r="L19" s="1216"/>
      <c r="M19" s="1216">
        <f t="shared" si="1"/>
        <v>0</v>
      </c>
      <c r="N19" s="1216">
        <f t="shared" si="2"/>
        <v>0</v>
      </c>
      <c r="O19" s="1216">
        <f t="shared" si="3"/>
        <v>0</v>
      </c>
      <c r="P19" s="1216"/>
      <c r="Q19" s="1216"/>
      <c r="R19" s="1216"/>
    </row>
    <row r="20" spans="2:18" s="1217" customFormat="1" x14ac:dyDescent="0.2">
      <c r="B20" s="1424" t="s">
        <v>843</v>
      </c>
      <c r="C20" s="3040"/>
      <c r="D20" s="3058"/>
      <c r="E20" s="3041"/>
      <c r="F20" s="2033"/>
      <c r="G20" s="2033"/>
      <c r="H20" s="1541">
        <v>120</v>
      </c>
      <c r="I20" s="1426">
        <f t="shared" si="0"/>
        <v>0</v>
      </c>
      <c r="J20" s="1390">
        <f>I20/15</f>
        <v>0</v>
      </c>
      <c r="L20" s="1216"/>
      <c r="M20" s="1216">
        <f t="shared" si="1"/>
        <v>0</v>
      </c>
      <c r="N20" s="1216">
        <f t="shared" si="2"/>
        <v>0</v>
      </c>
      <c r="O20" s="1216">
        <f t="shared" si="3"/>
        <v>0</v>
      </c>
      <c r="P20" s="1216"/>
      <c r="Q20" s="1216"/>
      <c r="R20" s="1216"/>
    </row>
    <row r="21" spans="2:18" s="1217" customFormat="1" x14ac:dyDescent="0.2">
      <c r="B21" s="1542"/>
      <c r="C21" s="1328"/>
      <c r="D21" s="1328"/>
      <c r="E21" s="1543"/>
      <c r="F21" s="1544"/>
      <c r="G21" s="1545">
        <f>SUM(O16:O20)</f>
        <v>0</v>
      </c>
      <c r="H21" s="1329" t="s">
        <v>456</v>
      </c>
      <c r="I21" s="1282">
        <f>SUM(I16:I20)</f>
        <v>0</v>
      </c>
      <c r="J21" s="1283">
        <f>SUM(J16:J20)</f>
        <v>0</v>
      </c>
      <c r="L21" s="1216"/>
      <c r="M21" s="1216">
        <f>SUM(O16:O20)</f>
        <v>0</v>
      </c>
      <c r="N21" s="1216"/>
      <c r="O21" s="1216"/>
      <c r="P21" s="1216"/>
      <c r="Q21" s="1216"/>
      <c r="R21" s="1216"/>
    </row>
    <row r="22" spans="2:18" s="1217" customFormat="1" x14ac:dyDescent="0.2">
      <c r="B22" s="1648"/>
      <c r="C22" s="1547"/>
      <c r="D22" s="1547"/>
      <c r="E22" s="1548"/>
      <c r="F22" s="1549"/>
      <c r="G22" s="1549"/>
      <c r="H22" s="1550"/>
      <c r="I22" s="1551"/>
      <c r="J22" s="1551"/>
      <c r="L22" s="1216"/>
      <c r="M22" s="1216"/>
      <c r="N22" s="1216"/>
      <c r="O22" s="1216"/>
      <c r="P22" s="1216"/>
      <c r="Q22" s="1216"/>
      <c r="R22" s="1216"/>
    </row>
    <row r="23" spans="2:18" s="1217" customFormat="1" ht="15" x14ac:dyDescent="0.25">
      <c r="B23" s="1855"/>
      <c r="C23" s="1553"/>
      <c r="D23" s="1553"/>
      <c r="E23" s="1554"/>
      <c r="F23" s="1555"/>
      <c r="G23" s="1555"/>
      <c r="H23" s="1556"/>
      <c r="I23" s="1557"/>
      <c r="J23" s="1557"/>
      <c r="L23" s="1216"/>
      <c r="M23" s="1216"/>
      <c r="N23" s="1216"/>
      <c r="O23" s="1216"/>
      <c r="P23" s="1216"/>
      <c r="Q23" s="1216"/>
      <c r="R23" s="1216"/>
    </row>
    <row r="24" spans="2:18" s="1144" customFormat="1" ht="21" customHeight="1" x14ac:dyDescent="0.25">
      <c r="B24" s="1533" t="s">
        <v>912</v>
      </c>
      <c r="C24" s="1534"/>
      <c r="D24" s="1534"/>
      <c r="E24" s="1174"/>
      <c r="F24" s="1176"/>
      <c r="G24" s="1176"/>
      <c r="H24" s="1176"/>
      <c r="I24" s="1176"/>
      <c r="J24" s="1535"/>
      <c r="L24" s="1147"/>
      <c r="M24" s="1147"/>
      <c r="N24" s="1147"/>
      <c r="O24" s="1147"/>
      <c r="P24" s="1147"/>
      <c r="Q24" s="1147"/>
      <c r="R24" s="1147"/>
    </row>
    <row r="25" spans="2:18" s="1198" customFormat="1" x14ac:dyDescent="0.2">
      <c r="B25" s="1271"/>
      <c r="C25" s="1521" t="s">
        <v>913</v>
      </c>
      <c r="D25" s="1471" t="s">
        <v>914</v>
      </c>
      <c r="E25" s="1272" t="s">
        <v>759</v>
      </c>
      <c r="F25" s="1577" t="s">
        <v>1011</v>
      </c>
      <c r="G25" s="1577" t="s">
        <v>1010</v>
      </c>
      <c r="H25" s="1536" t="s">
        <v>638</v>
      </c>
      <c r="I25" s="1537" t="s">
        <v>639</v>
      </c>
      <c r="J25" s="1538" t="s">
        <v>639</v>
      </c>
      <c r="L25" s="1196"/>
      <c r="M25" s="1196"/>
      <c r="N25" s="1196"/>
      <c r="O25" s="1196"/>
      <c r="P25" s="1196"/>
      <c r="Q25" s="1196"/>
      <c r="R25" s="1196"/>
    </row>
    <row r="26" spans="2:18" s="1209" customFormat="1" x14ac:dyDescent="0.2">
      <c r="B26" s="1199"/>
      <c r="C26" s="1200"/>
      <c r="D26" s="1201"/>
      <c r="E26" s="1201" t="s">
        <v>1150</v>
      </c>
      <c r="F26" s="1540" t="s">
        <v>1245</v>
      </c>
      <c r="G26" s="1540" t="s">
        <v>1245</v>
      </c>
      <c r="H26" s="1320" t="s">
        <v>644</v>
      </c>
      <c r="I26" s="1320" t="s">
        <v>641</v>
      </c>
      <c r="J26" s="1321" t="s">
        <v>510</v>
      </c>
      <c r="L26" s="1207"/>
      <c r="M26" s="1207"/>
      <c r="N26" s="1207"/>
      <c r="O26" s="1207"/>
      <c r="P26" s="1207"/>
      <c r="Q26" s="1207"/>
      <c r="R26" s="1207"/>
    </row>
    <row r="27" spans="2:18" s="1217" customFormat="1" x14ac:dyDescent="0.2">
      <c r="B27" s="1424" t="s">
        <v>1151</v>
      </c>
      <c r="C27" s="1520" t="s">
        <v>1318</v>
      </c>
      <c r="D27" s="1558">
        <v>1</v>
      </c>
      <c r="E27" s="1558">
        <v>5</v>
      </c>
      <c r="F27" s="2033">
        <v>241472</v>
      </c>
      <c r="G27" s="2033">
        <v>241472</v>
      </c>
      <c r="H27" s="1541">
        <v>3</v>
      </c>
      <c r="I27" s="1426">
        <f>IF(C27&lt;&gt;"",D27*E27*H27,0)</f>
        <v>15</v>
      </c>
      <c r="J27" s="1390">
        <f t="shared" ref="J27:J41" si="4">I27/15</f>
        <v>1</v>
      </c>
      <c r="L27" s="1216"/>
      <c r="M27" s="1216">
        <f>IF(F27&lt;&gt;"",IF(F27&lt;$M$12,0,1),0)</f>
        <v>1</v>
      </c>
      <c r="N27" s="1216">
        <f>IF(G27&lt;&gt;"",IF(G27&gt;$N$12,1,IF(G27&gt;=$M$12,1,0)),0)</f>
        <v>1</v>
      </c>
      <c r="O27" s="1216">
        <f>IF(OR(M27=1,N27=1),1,0)</f>
        <v>1</v>
      </c>
      <c r="P27" s="1216"/>
      <c r="Q27" s="1216"/>
      <c r="R27" s="1216"/>
    </row>
    <row r="28" spans="2:18" s="1217" customFormat="1" x14ac:dyDescent="0.2">
      <c r="B28" s="1424" t="s">
        <v>1152</v>
      </c>
      <c r="C28" s="1520"/>
      <c r="D28" s="1558"/>
      <c r="E28" s="1558"/>
      <c r="F28" s="2033"/>
      <c r="G28" s="2033"/>
      <c r="H28" s="1541">
        <v>3</v>
      </c>
      <c r="I28" s="1426">
        <f t="shared" ref="I28:I41" si="5">IF(C28&lt;&gt;"",D28*E28*H28,0)</f>
        <v>0</v>
      </c>
      <c r="J28" s="1390">
        <f t="shared" si="4"/>
        <v>0</v>
      </c>
      <c r="L28" s="1216"/>
      <c r="M28" s="1216">
        <f t="shared" ref="M28:M31" si="6">IF(F28&lt;&gt;"",IF(F28&lt;$M$12,0,1),0)</f>
        <v>0</v>
      </c>
      <c r="N28" s="1216">
        <f t="shared" ref="N28:N31" si="7">IF(G28&lt;&gt;"",IF(G28&gt;$N$12,1,IF(G28&gt;=$M$12,1,0)),0)</f>
        <v>0</v>
      </c>
      <c r="O28" s="1216">
        <f t="shared" ref="O28:O31" si="8">IF(OR(M28=1,N28=1),1,0)</f>
        <v>0</v>
      </c>
      <c r="P28" s="1216"/>
      <c r="Q28" s="1216"/>
      <c r="R28" s="1216"/>
    </row>
    <row r="29" spans="2:18" s="1217" customFormat="1" x14ac:dyDescent="0.2">
      <c r="B29" s="1424" t="s">
        <v>1153</v>
      </c>
      <c r="C29" s="1520"/>
      <c r="D29" s="1558"/>
      <c r="E29" s="1558"/>
      <c r="F29" s="2033"/>
      <c r="G29" s="2033"/>
      <c r="H29" s="1541">
        <v>3</v>
      </c>
      <c r="I29" s="1426">
        <f t="shared" si="5"/>
        <v>0</v>
      </c>
      <c r="J29" s="1390">
        <f t="shared" si="4"/>
        <v>0</v>
      </c>
      <c r="L29" s="1216"/>
      <c r="M29" s="1216">
        <f t="shared" si="6"/>
        <v>0</v>
      </c>
      <c r="N29" s="1216">
        <f t="shared" si="7"/>
        <v>0</v>
      </c>
      <c r="O29" s="1216">
        <f t="shared" si="8"/>
        <v>0</v>
      </c>
      <c r="P29" s="1216"/>
      <c r="Q29" s="1216"/>
      <c r="R29" s="1216"/>
    </row>
    <row r="30" spans="2:18" s="1217" customFormat="1" x14ac:dyDescent="0.2">
      <c r="B30" s="1424" t="s">
        <v>1154</v>
      </c>
      <c r="C30" s="1520"/>
      <c r="D30" s="1558"/>
      <c r="E30" s="1558"/>
      <c r="F30" s="2033"/>
      <c r="G30" s="2033"/>
      <c r="H30" s="1541">
        <v>3</v>
      </c>
      <c r="I30" s="1426">
        <f t="shared" si="5"/>
        <v>0</v>
      </c>
      <c r="J30" s="1390">
        <f t="shared" si="4"/>
        <v>0</v>
      </c>
      <c r="L30" s="1216"/>
      <c r="M30" s="1216">
        <f t="shared" si="6"/>
        <v>0</v>
      </c>
      <c r="N30" s="1216">
        <f t="shared" si="7"/>
        <v>0</v>
      </c>
      <c r="O30" s="1216">
        <f t="shared" si="8"/>
        <v>0</v>
      </c>
      <c r="P30" s="1216"/>
      <c r="Q30" s="1216"/>
      <c r="R30" s="1216"/>
    </row>
    <row r="31" spans="2:18" s="1217" customFormat="1" x14ac:dyDescent="0.2">
      <c r="B31" s="1424" t="s">
        <v>1155</v>
      </c>
      <c r="C31" s="1520"/>
      <c r="D31" s="1558"/>
      <c r="E31" s="1558"/>
      <c r="F31" s="2033"/>
      <c r="G31" s="2033"/>
      <c r="H31" s="1541">
        <v>3</v>
      </c>
      <c r="I31" s="1426">
        <f t="shared" si="5"/>
        <v>0</v>
      </c>
      <c r="J31" s="1390">
        <f t="shared" si="4"/>
        <v>0</v>
      </c>
      <c r="L31" s="1216"/>
      <c r="M31" s="1216">
        <f t="shared" si="6"/>
        <v>0</v>
      </c>
      <c r="N31" s="1216">
        <f t="shared" si="7"/>
        <v>0</v>
      </c>
      <c r="O31" s="1216">
        <f t="shared" si="8"/>
        <v>0</v>
      </c>
      <c r="P31" s="1216"/>
      <c r="Q31" s="1216"/>
      <c r="R31" s="1216"/>
    </row>
    <row r="32" spans="2:18" s="1217" customFormat="1" x14ac:dyDescent="0.2">
      <c r="B32" s="1424" t="s">
        <v>1204</v>
      </c>
      <c r="C32" s="1891"/>
      <c r="D32" s="1558"/>
      <c r="E32" s="1558"/>
      <c r="F32" s="2033"/>
      <c r="G32" s="2033"/>
      <c r="H32" s="1541">
        <v>3</v>
      </c>
      <c r="I32" s="1426">
        <f t="shared" si="5"/>
        <v>0</v>
      </c>
      <c r="J32" s="1390">
        <f t="shared" si="4"/>
        <v>0</v>
      </c>
      <c r="L32" s="1216"/>
      <c r="M32" s="1216">
        <f>IF(F32&lt;&gt;"",IF(F32&lt;$M$12,0,1),0)</f>
        <v>0</v>
      </c>
      <c r="N32" s="1216">
        <f>IF(G32&lt;&gt;"",IF(G32&gt;$N$12,1,IF(G32&gt;=$M$12,1,0)),0)</f>
        <v>0</v>
      </c>
      <c r="O32" s="1216">
        <f>IF(OR(M32=1,N32=1),1,0)</f>
        <v>0</v>
      </c>
      <c r="P32" s="1216"/>
      <c r="Q32" s="1216"/>
      <c r="R32" s="1216"/>
    </row>
    <row r="33" spans="2:18" s="1217" customFormat="1" x14ac:dyDescent="0.2">
      <c r="B33" s="1424" t="s">
        <v>1205</v>
      </c>
      <c r="C33" s="1891"/>
      <c r="D33" s="1558"/>
      <c r="E33" s="1558"/>
      <c r="F33" s="2033"/>
      <c r="G33" s="2033"/>
      <c r="H33" s="1541">
        <v>3</v>
      </c>
      <c r="I33" s="1426">
        <f t="shared" si="5"/>
        <v>0</v>
      </c>
      <c r="J33" s="1390">
        <f t="shared" si="4"/>
        <v>0</v>
      </c>
      <c r="L33" s="1216"/>
      <c r="M33" s="1216">
        <f t="shared" ref="M33:M36" si="9">IF(F33&lt;&gt;"",IF(F33&lt;$M$12,0,1),0)</f>
        <v>0</v>
      </c>
      <c r="N33" s="1216">
        <f t="shared" ref="N33:N36" si="10">IF(G33&lt;&gt;"",IF(G33&gt;$N$12,1,IF(G33&gt;=$M$12,1,0)),0)</f>
        <v>0</v>
      </c>
      <c r="O33" s="1216">
        <f t="shared" ref="O33:O36" si="11">IF(OR(M33=1,N33=1),1,0)</f>
        <v>0</v>
      </c>
      <c r="P33" s="1216"/>
      <c r="Q33" s="1216"/>
      <c r="R33" s="1216"/>
    </row>
    <row r="34" spans="2:18" s="1217" customFormat="1" x14ac:dyDescent="0.2">
      <c r="B34" s="1424" t="s">
        <v>1206</v>
      </c>
      <c r="C34" s="1891"/>
      <c r="D34" s="1558"/>
      <c r="E34" s="1558"/>
      <c r="F34" s="2033"/>
      <c r="G34" s="2033"/>
      <c r="H34" s="1541">
        <v>3</v>
      </c>
      <c r="I34" s="1426">
        <f t="shared" si="5"/>
        <v>0</v>
      </c>
      <c r="J34" s="1390">
        <f t="shared" si="4"/>
        <v>0</v>
      </c>
      <c r="L34" s="1216"/>
      <c r="M34" s="1216">
        <f t="shared" si="9"/>
        <v>0</v>
      </c>
      <c r="N34" s="1216">
        <f t="shared" si="10"/>
        <v>0</v>
      </c>
      <c r="O34" s="1216">
        <f t="shared" si="11"/>
        <v>0</v>
      </c>
      <c r="P34" s="1216"/>
      <c r="Q34" s="1216"/>
      <c r="R34" s="1216"/>
    </row>
    <row r="35" spans="2:18" s="1217" customFormat="1" x14ac:dyDescent="0.2">
      <c r="B35" s="1424" t="s">
        <v>1207</v>
      </c>
      <c r="C35" s="1891"/>
      <c r="D35" s="1558"/>
      <c r="E35" s="1558"/>
      <c r="F35" s="2033"/>
      <c r="G35" s="2033"/>
      <c r="H35" s="1541">
        <v>3</v>
      </c>
      <c r="I35" s="1426">
        <f t="shared" si="5"/>
        <v>0</v>
      </c>
      <c r="J35" s="1390">
        <f t="shared" si="4"/>
        <v>0</v>
      </c>
      <c r="L35" s="1216"/>
      <c r="M35" s="1216">
        <f t="shared" si="9"/>
        <v>0</v>
      </c>
      <c r="N35" s="1216">
        <f t="shared" si="10"/>
        <v>0</v>
      </c>
      <c r="O35" s="1216">
        <f t="shared" si="11"/>
        <v>0</v>
      </c>
      <c r="P35" s="1216"/>
      <c r="Q35" s="1216"/>
      <c r="R35" s="1216"/>
    </row>
    <row r="36" spans="2:18" s="1217" customFormat="1" x14ac:dyDescent="0.2">
      <c r="B36" s="1424" t="s">
        <v>1208</v>
      </c>
      <c r="C36" s="1891"/>
      <c r="D36" s="1558"/>
      <c r="E36" s="1558"/>
      <c r="F36" s="2033"/>
      <c r="G36" s="2033"/>
      <c r="H36" s="1541">
        <v>3</v>
      </c>
      <c r="I36" s="1426">
        <f t="shared" si="5"/>
        <v>0</v>
      </c>
      <c r="J36" s="1390">
        <f t="shared" si="4"/>
        <v>0</v>
      </c>
      <c r="L36" s="1216"/>
      <c r="M36" s="1216">
        <f t="shared" si="9"/>
        <v>0</v>
      </c>
      <c r="N36" s="1216">
        <f t="shared" si="10"/>
        <v>0</v>
      </c>
      <c r="O36" s="1216">
        <f t="shared" si="11"/>
        <v>0</v>
      </c>
      <c r="P36" s="1216"/>
      <c r="Q36" s="1216"/>
      <c r="R36" s="1216"/>
    </row>
    <row r="37" spans="2:18" s="1217" customFormat="1" x14ac:dyDescent="0.2">
      <c r="B37" s="1424" t="s">
        <v>1209</v>
      </c>
      <c r="C37" s="1891"/>
      <c r="D37" s="1558"/>
      <c r="E37" s="1558"/>
      <c r="F37" s="2033"/>
      <c r="G37" s="2033"/>
      <c r="H37" s="1541">
        <v>3</v>
      </c>
      <c r="I37" s="1426">
        <f t="shared" si="5"/>
        <v>0</v>
      </c>
      <c r="J37" s="1390">
        <f t="shared" si="4"/>
        <v>0</v>
      </c>
      <c r="L37" s="1216"/>
      <c r="M37" s="1216">
        <f>IF(F37&lt;&gt;"",IF(F37&lt;$M$12,0,1),0)</f>
        <v>0</v>
      </c>
      <c r="N37" s="1216">
        <f>IF(G37&lt;&gt;"",IF(G37&gt;$N$12,1,IF(G37&gt;=$M$12,1,0)),0)</f>
        <v>0</v>
      </c>
      <c r="O37" s="1216">
        <f>IF(OR(M37=1,N37=1),1,0)</f>
        <v>0</v>
      </c>
      <c r="P37" s="1216"/>
      <c r="Q37" s="1216"/>
      <c r="R37" s="1216"/>
    </row>
    <row r="38" spans="2:18" s="1217" customFormat="1" x14ac:dyDescent="0.2">
      <c r="B38" s="1424" t="s">
        <v>1210</v>
      </c>
      <c r="C38" s="1891"/>
      <c r="D38" s="1558"/>
      <c r="E38" s="1558"/>
      <c r="F38" s="2033"/>
      <c r="G38" s="2033"/>
      <c r="H38" s="1541">
        <v>3</v>
      </c>
      <c r="I38" s="1426">
        <f t="shared" si="5"/>
        <v>0</v>
      </c>
      <c r="J38" s="1390">
        <f t="shared" si="4"/>
        <v>0</v>
      </c>
      <c r="L38" s="1216"/>
      <c r="M38" s="1216">
        <f t="shared" ref="M38:M41" si="12">IF(F38&lt;&gt;"",IF(F38&lt;$M$12,0,1),0)</f>
        <v>0</v>
      </c>
      <c r="N38" s="1216">
        <f t="shared" ref="N38:N41" si="13">IF(G38&lt;&gt;"",IF(G38&gt;$N$12,1,IF(G38&gt;=$M$12,1,0)),0)</f>
        <v>0</v>
      </c>
      <c r="O38" s="1216">
        <f t="shared" ref="O38:O41" si="14">IF(OR(M38=1,N38=1),1,0)</f>
        <v>0</v>
      </c>
      <c r="P38" s="1216"/>
      <c r="Q38" s="1216"/>
      <c r="R38" s="1216"/>
    </row>
    <row r="39" spans="2:18" s="1217" customFormat="1" x14ac:dyDescent="0.2">
      <c r="B39" s="1424" t="s">
        <v>1211</v>
      </c>
      <c r="C39" s="1891"/>
      <c r="D39" s="1558"/>
      <c r="E39" s="1558"/>
      <c r="F39" s="2033"/>
      <c r="G39" s="2033"/>
      <c r="H39" s="1541">
        <v>3</v>
      </c>
      <c r="I39" s="1426">
        <f t="shared" si="5"/>
        <v>0</v>
      </c>
      <c r="J39" s="1390">
        <f t="shared" si="4"/>
        <v>0</v>
      </c>
      <c r="L39" s="1216"/>
      <c r="M39" s="1216">
        <f t="shared" si="12"/>
        <v>0</v>
      </c>
      <c r="N39" s="1216">
        <f t="shared" si="13"/>
        <v>0</v>
      </c>
      <c r="O39" s="1216">
        <f t="shared" si="14"/>
        <v>0</v>
      </c>
      <c r="P39" s="1216"/>
      <c r="Q39" s="1216"/>
      <c r="R39" s="1216"/>
    </row>
    <row r="40" spans="2:18" s="1217" customFormat="1" x14ac:dyDescent="0.2">
      <c r="B40" s="1424" t="s">
        <v>1212</v>
      </c>
      <c r="C40" s="1891"/>
      <c r="D40" s="1558"/>
      <c r="E40" s="1558"/>
      <c r="F40" s="2033"/>
      <c r="G40" s="2033"/>
      <c r="H40" s="1541">
        <v>3</v>
      </c>
      <c r="I40" s="1426">
        <f t="shared" si="5"/>
        <v>0</v>
      </c>
      <c r="J40" s="1390">
        <f t="shared" si="4"/>
        <v>0</v>
      </c>
      <c r="L40" s="1216"/>
      <c r="M40" s="1216">
        <f t="shared" si="12"/>
        <v>0</v>
      </c>
      <c r="N40" s="1216">
        <f t="shared" si="13"/>
        <v>0</v>
      </c>
      <c r="O40" s="1216">
        <f t="shared" si="14"/>
        <v>0</v>
      </c>
      <c r="P40" s="1216"/>
      <c r="Q40" s="1216"/>
      <c r="R40" s="1216"/>
    </row>
    <row r="41" spans="2:18" s="1217" customFormat="1" x14ac:dyDescent="0.2">
      <c r="B41" s="1424" t="s">
        <v>1213</v>
      </c>
      <c r="C41" s="1891"/>
      <c r="D41" s="1558"/>
      <c r="E41" s="1558"/>
      <c r="F41" s="2033"/>
      <c r="G41" s="2033"/>
      <c r="H41" s="1541">
        <v>3</v>
      </c>
      <c r="I41" s="1426">
        <f t="shared" si="5"/>
        <v>0</v>
      </c>
      <c r="J41" s="1390">
        <f t="shared" si="4"/>
        <v>0</v>
      </c>
      <c r="L41" s="1216"/>
      <c r="M41" s="1216">
        <f t="shared" si="12"/>
        <v>0</v>
      </c>
      <c r="N41" s="1216">
        <f t="shared" si="13"/>
        <v>0</v>
      </c>
      <c r="O41" s="1216">
        <f t="shared" si="14"/>
        <v>0</v>
      </c>
      <c r="P41" s="1216"/>
      <c r="Q41" s="1216"/>
      <c r="R41" s="1216"/>
    </row>
    <row r="42" spans="2:18" s="1217" customFormat="1" x14ac:dyDescent="0.2">
      <c r="B42" s="1542"/>
      <c r="C42" s="1328"/>
      <c r="D42" s="1328"/>
      <c r="E42" s="1543"/>
      <c r="F42" s="1544"/>
      <c r="G42" s="1545">
        <f>SUM(O27:O41)</f>
        <v>1</v>
      </c>
      <c r="H42" s="1329" t="s">
        <v>456</v>
      </c>
      <c r="I42" s="1282">
        <f>SUM(I27:I41)</f>
        <v>15</v>
      </c>
      <c r="J42" s="1283">
        <f>SUM(J27:J41)</f>
        <v>1</v>
      </c>
      <c r="L42" s="1216"/>
      <c r="M42" s="1216"/>
      <c r="N42" s="1216"/>
      <c r="O42" s="1216"/>
      <c r="P42" s="1216"/>
      <c r="Q42" s="1216"/>
      <c r="R42" s="1216"/>
    </row>
    <row r="43" spans="2:18" s="1217" customFormat="1" x14ac:dyDescent="0.2">
      <c r="B43" s="1546"/>
      <c r="C43" s="1547"/>
      <c r="D43" s="1547"/>
      <c r="E43" s="1548"/>
      <c r="F43" s="1549"/>
      <c r="G43" s="1549"/>
      <c r="H43" s="1550"/>
      <c r="I43" s="1551"/>
      <c r="J43" s="1551"/>
      <c r="L43" s="1216"/>
      <c r="M43" s="1216"/>
      <c r="N43" s="1216"/>
      <c r="O43" s="1216"/>
      <c r="P43" s="1216"/>
      <c r="Q43" s="1216"/>
      <c r="R43" s="1216"/>
    </row>
    <row r="44" spans="2:18" s="1217" customFormat="1" x14ac:dyDescent="0.2">
      <c r="B44" s="1552"/>
      <c r="C44" s="1553"/>
      <c r="D44" s="1553"/>
      <c r="E44" s="1554"/>
      <c r="F44" s="1555"/>
      <c r="G44" s="1555"/>
      <c r="H44" s="1556"/>
      <c r="I44" s="1557"/>
      <c r="J44" s="1557"/>
      <c r="L44" s="1216"/>
      <c r="M44" s="1216"/>
      <c r="N44" s="1216"/>
      <c r="O44" s="1216"/>
      <c r="P44" s="1216"/>
      <c r="Q44" s="1216"/>
      <c r="R44" s="1216"/>
    </row>
    <row r="45" spans="2:18" s="1144" customFormat="1" ht="21" customHeight="1" x14ac:dyDescent="0.25">
      <c r="B45" s="1172" t="s">
        <v>920</v>
      </c>
      <c r="C45" s="1534"/>
      <c r="D45" s="1534"/>
      <c r="E45" s="1174"/>
      <c r="F45" s="1176"/>
      <c r="G45" s="1176"/>
      <c r="H45" s="1176"/>
      <c r="I45" s="1176"/>
      <c r="J45" s="1535"/>
      <c r="L45" s="1147"/>
      <c r="M45" s="1216"/>
      <c r="N45" s="1147"/>
      <c r="O45" s="1147"/>
      <c r="P45" s="1147"/>
      <c r="Q45" s="1147"/>
      <c r="R45" s="1147"/>
    </row>
    <row r="46" spans="2:18" s="1198" customFormat="1" x14ac:dyDescent="0.2">
      <c r="B46" s="1271"/>
      <c r="C46" s="1521" t="s">
        <v>913</v>
      </c>
      <c r="D46" s="1471" t="s">
        <v>914</v>
      </c>
      <c r="E46" s="1272" t="s">
        <v>759</v>
      </c>
      <c r="F46" s="1577" t="s">
        <v>1011</v>
      </c>
      <c r="G46" s="1577" t="s">
        <v>1010</v>
      </c>
      <c r="H46" s="1536" t="s">
        <v>638</v>
      </c>
      <c r="I46" s="1537" t="s">
        <v>639</v>
      </c>
      <c r="J46" s="1538" t="s">
        <v>639</v>
      </c>
      <c r="L46" s="1196"/>
      <c r="M46" s="1216"/>
      <c r="N46" s="1196"/>
      <c r="O46" s="1196"/>
      <c r="P46" s="1196"/>
      <c r="Q46" s="1196"/>
      <c r="R46" s="1196"/>
    </row>
    <row r="47" spans="2:18" s="1209" customFormat="1" x14ac:dyDescent="0.2">
      <c r="B47" s="1199"/>
      <c r="C47" s="1559"/>
      <c r="D47" s="1201"/>
      <c r="E47" s="1201" t="s">
        <v>1150</v>
      </c>
      <c r="F47" s="1540" t="s">
        <v>1245</v>
      </c>
      <c r="G47" s="1540" t="s">
        <v>1245</v>
      </c>
      <c r="H47" s="1320" t="s">
        <v>644</v>
      </c>
      <c r="I47" s="1320" t="s">
        <v>641</v>
      </c>
      <c r="J47" s="1321" t="s">
        <v>510</v>
      </c>
      <c r="L47" s="1207"/>
      <c r="M47" s="1216"/>
      <c r="N47" s="1207"/>
      <c r="O47" s="1207"/>
      <c r="P47" s="1207"/>
      <c r="Q47" s="1207"/>
      <c r="R47" s="1207"/>
    </row>
    <row r="48" spans="2:18" s="1217" customFormat="1" x14ac:dyDescent="0.2">
      <c r="B48" s="1424" t="s">
        <v>915</v>
      </c>
      <c r="C48" s="1520"/>
      <c r="D48" s="1558"/>
      <c r="E48" s="1558"/>
      <c r="F48" s="2033"/>
      <c r="G48" s="2033"/>
      <c r="H48" s="1541">
        <v>1</v>
      </c>
      <c r="I48" s="1426">
        <f>IF(C48&lt;&gt;"",D48*H48*E48,0)</f>
        <v>0</v>
      </c>
      <c r="J48" s="1390">
        <f>I48/15</f>
        <v>0</v>
      </c>
      <c r="L48" s="1216"/>
      <c r="M48" s="1216">
        <f>IF(F48&lt;&gt;"",IF(F48&lt;$M$12,0,1),0)</f>
        <v>0</v>
      </c>
      <c r="N48" s="1216">
        <f>IF(G48&lt;&gt;"",IF(G48&gt;$N$12,1,IF(G48&gt;=$M$12,1,0)),0)</f>
        <v>0</v>
      </c>
      <c r="O48" s="1216">
        <f>IF(OR(M48=1,N48=1),1,0)</f>
        <v>0</v>
      </c>
      <c r="P48" s="1216"/>
      <c r="Q48" s="1216"/>
      <c r="R48" s="1216"/>
    </row>
    <row r="49" spans="2:18" s="1217" customFormat="1" x14ac:dyDescent="0.2">
      <c r="B49" s="1424" t="s">
        <v>916</v>
      </c>
      <c r="C49" s="1520"/>
      <c r="D49" s="1558"/>
      <c r="E49" s="1558"/>
      <c r="F49" s="2033"/>
      <c r="G49" s="2033"/>
      <c r="H49" s="1541">
        <v>1</v>
      </c>
      <c r="I49" s="1426">
        <f t="shared" ref="I49:I52" si="15">IF(C49&lt;&gt;"",D49*H49*E49,0)</f>
        <v>0</v>
      </c>
      <c r="J49" s="1390">
        <f>I49/15</f>
        <v>0</v>
      </c>
      <c r="L49" s="1216"/>
      <c r="M49" s="1216">
        <f t="shared" ref="M49:M52" si="16">IF(F49&lt;&gt;"",IF(F49&lt;$M$12,0,1),0)</f>
        <v>0</v>
      </c>
      <c r="N49" s="1216">
        <f t="shared" ref="N49:N52" si="17">IF(G49&lt;&gt;"",IF(G49&gt;$N$12,1,IF(G49&gt;=$M$12,1,0)),0)</f>
        <v>0</v>
      </c>
      <c r="O49" s="1216">
        <f t="shared" ref="O49:O52" si="18">IF(OR(M49=1,N49=1),1,0)</f>
        <v>0</v>
      </c>
      <c r="P49" s="1216"/>
      <c r="Q49" s="1216"/>
      <c r="R49" s="1216"/>
    </row>
    <row r="50" spans="2:18" s="1217" customFormat="1" x14ac:dyDescent="0.2">
      <c r="B50" s="1424" t="s">
        <v>917</v>
      </c>
      <c r="C50" s="1520"/>
      <c r="D50" s="1558"/>
      <c r="E50" s="1558"/>
      <c r="F50" s="2033"/>
      <c r="G50" s="2033"/>
      <c r="H50" s="1541">
        <v>1</v>
      </c>
      <c r="I50" s="1426">
        <f t="shared" si="15"/>
        <v>0</v>
      </c>
      <c r="J50" s="1390">
        <f>I50/15</f>
        <v>0</v>
      </c>
      <c r="L50" s="1216"/>
      <c r="M50" s="1216">
        <f t="shared" si="16"/>
        <v>0</v>
      </c>
      <c r="N50" s="1216">
        <f t="shared" si="17"/>
        <v>0</v>
      </c>
      <c r="O50" s="1216">
        <f t="shared" si="18"/>
        <v>0</v>
      </c>
      <c r="P50" s="1216"/>
      <c r="Q50" s="1216"/>
      <c r="R50" s="1216"/>
    </row>
    <row r="51" spans="2:18" s="1217" customFormat="1" x14ac:dyDescent="0.2">
      <c r="B51" s="1424" t="s">
        <v>918</v>
      </c>
      <c r="C51" s="1520"/>
      <c r="D51" s="1558"/>
      <c r="E51" s="1558"/>
      <c r="F51" s="2033"/>
      <c r="G51" s="2033"/>
      <c r="H51" s="1541">
        <v>1</v>
      </c>
      <c r="I51" s="1426">
        <f t="shared" si="15"/>
        <v>0</v>
      </c>
      <c r="J51" s="1390">
        <f>I51/15</f>
        <v>0</v>
      </c>
      <c r="L51" s="1216"/>
      <c r="M51" s="1216">
        <f t="shared" si="16"/>
        <v>0</v>
      </c>
      <c r="N51" s="1216">
        <f t="shared" si="17"/>
        <v>0</v>
      </c>
      <c r="O51" s="1216">
        <f t="shared" si="18"/>
        <v>0</v>
      </c>
      <c r="P51" s="1216"/>
      <c r="Q51" s="1216"/>
      <c r="R51" s="1216"/>
    </row>
    <row r="52" spans="2:18" s="1217" customFormat="1" x14ac:dyDescent="0.2">
      <c r="B52" s="1424" t="s">
        <v>919</v>
      </c>
      <c r="C52" s="1520"/>
      <c r="D52" s="1558"/>
      <c r="E52" s="1558"/>
      <c r="F52" s="2033"/>
      <c r="G52" s="2033"/>
      <c r="H52" s="1541">
        <v>1</v>
      </c>
      <c r="I52" s="1426">
        <f t="shared" si="15"/>
        <v>0</v>
      </c>
      <c r="J52" s="1390">
        <f>I52/15</f>
        <v>0</v>
      </c>
      <c r="L52" s="1216"/>
      <c r="M52" s="1216">
        <f t="shared" si="16"/>
        <v>0</v>
      </c>
      <c r="N52" s="1216">
        <f t="shared" si="17"/>
        <v>0</v>
      </c>
      <c r="O52" s="1216">
        <f t="shared" si="18"/>
        <v>0</v>
      </c>
      <c r="P52" s="1216"/>
      <c r="Q52" s="1216"/>
      <c r="R52" s="1216"/>
    </row>
    <row r="53" spans="2:18" s="1217" customFormat="1" x14ac:dyDescent="0.2">
      <c r="B53" s="1542"/>
      <c r="C53" s="1328"/>
      <c r="D53" s="1328"/>
      <c r="E53" s="1543"/>
      <c r="F53" s="1544"/>
      <c r="G53" s="1545">
        <f>SUM(O48:O52)</f>
        <v>0</v>
      </c>
      <c r="H53" s="1329" t="s">
        <v>456</v>
      </c>
      <c r="I53" s="1282">
        <f>SUM(I48:I52)</f>
        <v>0</v>
      </c>
      <c r="J53" s="1283">
        <f>SUM(J48:J52)</f>
        <v>0</v>
      </c>
      <c r="L53" s="1216"/>
      <c r="M53" s="1216"/>
      <c r="N53" s="1216"/>
      <c r="O53" s="1216"/>
      <c r="P53" s="1216"/>
      <c r="Q53" s="1216"/>
      <c r="R53" s="1216"/>
    </row>
    <row r="54" spans="2:18" s="1304" customFormat="1" x14ac:dyDescent="0.2">
      <c r="B54" s="1546"/>
      <c r="C54" s="1547"/>
      <c r="D54" s="1547"/>
      <c r="E54" s="1548"/>
      <c r="F54" s="1549"/>
      <c r="G54" s="1549"/>
      <c r="H54" s="1550"/>
      <c r="I54" s="1551"/>
      <c r="J54" s="1551"/>
      <c r="L54" s="1302"/>
      <c r="M54" s="1216"/>
      <c r="N54" s="1302"/>
      <c r="O54" s="1302"/>
      <c r="P54" s="1302"/>
      <c r="Q54" s="1302"/>
      <c r="R54" s="1302"/>
    </row>
    <row r="55" spans="2:18" s="1304" customFormat="1" x14ac:dyDescent="0.2">
      <c r="B55" s="1552"/>
      <c r="C55" s="1553"/>
      <c r="D55" s="1553"/>
      <c r="E55" s="1554"/>
      <c r="F55" s="1555"/>
      <c r="G55" s="1555"/>
      <c r="H55" s="1556"/>
      <c r="I55" s="1557"/>
      <c r="J55" s="1557"/>
      <c r="L55" s="1302"/>
      <c r="M55" s="1216"/>
      <c r="N55" s="1302"/>
      <c r="O55" s="1302"/>
      <c r="P55" s="1302"/>
      <c r="Q55" s="1302"/>
      <c r="R55" s="1302"/>
    </row>
    <row r="56" spans="2:18" s="1144" customFormat="1" ht="21" customHeight="1" x14ac:dyDescent="0.25">
      <c r="B56" s="1172" t="s">
        <v>921</v>
      </c>
      <c r="C56" s="1534"/>
      <c r="D56" s="1534"/>
      <c r="E56" s="1174"/>
      <c r="F56" s="1176"/>
      <c r="G56" s="1176"/>
      <c r="H56" s="1176"/>
      <c r="I56" s="1176"/>
      <c r="J56" s="1535"/>
      <c r="L56" s="1147"/>
      <c r="M56" s="1216"/>
      <c r="N56" s="1147"/>
      <c r="O56" s="1147"/>
      <c r="P56" s="1147"/>
      <c r="Q56" s="1147"/>
      <c r="R56" s="1147"/>
    </row>
    <row r="57" spans="2:18" s="1198" customFormat="1" x14ac:dyDescent="0.2">
      <c r="B57" s="1271"/>
      <c r="C57" s="3052" t="s">
        <v>922</v>
      </c>
      <c r="D57" s="3054"/>
      <c r="E57" s="1471" t="s">
        <v>914</v>
      </c>
      <c r="F57" s="1272" t="s">
        <v>759</v>
      </c>
      <c r="G57" s="1577" t="s">
        <v>923</v>
      </c>
      <c r="H57" s="1536" t="s">
        <v>638</v>
      </c>
      <c r="I57" s="1537" t="s">
        <v>639</v>
      </c>
      <c r="J57" s="1538" t="s">
        <v>639</v>
      </c>
      <c r="L57" s="1196"/>
      <c r="M57" s="1216"/>
      <c r="N57" s="1196"/>
      <c r="O57" s="1196"/>
      <c r="P57" s="1196"/>
      <c r="Q57" s="1196"/>
      <c r="R57" s="1196"/>
    </row>
    <row r="58" spans="2:18" s="1209" customFormat="1" x14ac:dyDescent="0.2">
      <c r="B58" s="1199"/>
      <c r="C58" s="3091"/>
      <c r="D58" s="3092"/>
      <c r="E58" s="1201"/>
      <c r="F58" s="1201" t="s">
        <v>1218</v>
      </c>
      <c r="G58" s="1540" t="s">
        <v>1245</v>
      </c>
      <c r="H58" s="1320" t="s">
        <v>644</v>
      </c>
      <c r="I58" s="1320" t="s">
        <v>641</v>
      </c>
      <c r="J58" s="1321" t="s">
        <v>510</v>
      </c>
      <c r="L58" s="1207"/>
      <c r="M58" s="1216"/>
      <c r="N58" s="1207"/>
      <c r="O58" s="1207"/>
      <c r="P58" s="1207"/>
      <c r="Q58" s="1207"/>
      <c r="R58" s="1207"/>
    </row>
    <row r="59" spans="2:18" s="1217" customFormat="1" x14ac:dyDescent="0.2">
      <c r="B59" s="1424" t="s">
        <v>743</v>
      </c>
      <c r="C59" s="3040"/>
      <c r="D59" s="3041"/>
      <c r="E59" s="1558"/>
      <c r="F59" s="1558"/>
      <c r="G59" s="2033"/>
      <c r="H59" s="1426">
        <v>1.3</v>
      </c>
      <c r="I59" s="1426">
        <f>IF(C59&lt;&gt;"",F59*H59*E59,0)</f>
        <v>0</v>
      </c>
      <c r="J59" s="1390">
        <f t="shared" ref="J59:J68" si="19">I59/15</f>
        <v>0</v>
      </c>
      <c r="L59" s="1216"/>
      <c r="M59" s="1216">
        <f t="shared" ref="M59:M68" si="20">IF(G59&lt;&gt;"",IF(AND(G59&gt;=$M$12,G59&lt;=$N$12),1,0),0)</f>
        <v>0</v>
      </c>
      <c r="N59" s="1216"/>
      <c r="O59" s="1216"/>
      <c r="P59" s="1216"/>
      <c r="Q59" s="1216"/>
      <c r="R59" s="1216"/>
    </row>
    <row r="60" spans="2:18" s="1217" customFormat="1" x14ac:dyDescent="0.2">
      <c r="B60" s="1424" t="s">
        <v>744</v>
      </c>
      <c r="C60" s="3040"/>
      <c r="D60" s="3041"/>
      <c r="E60" s="1558"/>
      <c r="F60" s="1558"/>
      <c r="G60" s="2033"/>
      <c r="H60" s="1426">
        <v>1.3</v>
      </c>
      <c r="I60" s="1426">
        <f t="shared" ref="I60:I68" si="21">IF(C60&lt;&gt;"",F60*H60*E60,0)</f>
        <v>0</v>
      </c>
      <c r="J60" s="1390">
        <f t="shared" si="19"/>
        <v>0</v>
      </c>
      <c r="L60" s="1216"/>
      <c r="M60" s="1216">
        <f t="shared" si="20"/>
        <v>0</v>
      </c>
      <c r="N60" s="1216"/>
      <c r="O60" s="1216"/>
      <c r="P60" s="1216"/>
      <c r="Q60" s="1216"/>
      <c r="R60" s="1216"/>
    </row>
    <row r="61" spans="2:18" s="1217" customFormat="1" x14ac:dyDescent="0.2">
      <c r="B61" s="1424" t="s">
        <v>745</v>
      </c>
      <c r="C61" s="3040"/>
      <c r="D61" s="3041"/>
      <c r="E61" s="1558"/>
      <c r="F61" s="1558"/>
      <c r="G61" s="2033"/>
      <c r="H61" s="1426">
        <v>1.3</v>
      </c>
      <c r="I61" s="1426">
        <f t="shared" si="21"/>
        <v>0</v>
      </c>
      <c r="J61" s="1390">
        <f t="shared" si="19"/>
        <v>0</v>
      </c>
      <c r="L61" s="1216"/>
      <c r="M61" s="1216">
        <f t="shared" si="20"/>
        <v>0</v>
      </c>
      <c r="N61" s="1216"/>
      <c r="O61" s="1216"/>
      <c r="P61" s="1216"/>
      <c r="Q61" s="1216"/>
      <c r="R61" s="1216"/>
    </row>
    <row r="62" spans="2:18" s="1217" customFormat="1" x14ac:dyDescent="0.2">
      <c r="B62" s="1424" t="s">
        <v>746</v>
      </c>
      <c r="C62" s="3040"/>
      <c r="D62" s="3041"/>
      <c r="E62" s="1558"/>
      <c r="F62" s="1558"/>
      <c r="G62" s="2033"/>
      <c r="H62" s="1426">
        <v>1.3</v>
      </c>
      <c r="I62" s="1426">
        <f t="shared" si="21"/>
        <v>0</v>
      </c>
      <c r="J62" s="1390">
        <f t="shared" si="19"/>
        <v>0</v>
      </c>
      <c r="L62" s="1216"/>
      <c r="M62" s="1216">
        <f t="shared" si="20"/>
        <v>0</v>
      </c>
      <c r="N62" s="1216"/>
      <c r="O62" s="1216"/>
      <c r="P62" s="1216"/>
      <c r="Q62" s="1216"/>
      <c r="R62" s="1216"/>
    </row>
    <row r="63" spans="2:18" s="1217" customFormat="1" x14ac:dyDescent="0.2">
      <c r="B63" s="1424" t="s">
        <v>747</v>
      </c>
      <c r="C63" s="3040"/>
      <c r="D63" s="3041"/>
      <c r="E63" s="1558"/>
      <c r="F63" s="1558"/>
      <c r="G63" s="2033"/>
      <c r="H63" s="1426">
        <v>1.3</v>
      </c>
      <c r="I63" s="1426">
        <f t="shared" si="21"/>
        <v>0</v>
      </c>
      <c r="J63" s="1390">
        <f t="shared" si="19"/>
        <v>0</v>
      </c>
      <c r="L63" s="1216"/>
      <c r="M63" s="1216">
        <f t="shared" si="20"/>
        <v>0</v>
      </c>
      <c r="N63" s="1216"/>
      <c r="O63" s="1216"/>
      <c r="P63" s="1216"/>
      <c r="Q63" s="1216"/>
      <c r="R63" s="1216"/>
    </row>
    <row r="64" spans="2:18" s="1217" customFormat="1" x14ac:dyDescent="0.2">
      <c r="B64" s="1424" t="s">
        <v>748</v>
      </c>
      <c r="C64" s="3040"/>
      <c r="D64" s="3041"/>
      <c r="E64" s="1558"/>
      <c r="F64" s="1558"/>
      <c r="G64" s="2033"/>
      <c r="H64" s="1426">
        <v>1.3</v>
      </c>
      <c r="I64" s="1426">
        <f t="shared" si="21"/>
        <v>0</v>
      </c>
      <c r="J64" s="1390">
        <f t="shared" si="19"/>
        <v>0</v>
      </c>
      <c r="L64" s="1216"/>
      <c r="M64" s="1216">
        <f t="shared" si="20"/>
        <v>0</v>
      </c>
      <c r="N64" s="1216"/>
      <c r="O64" s="1216"/>
      <c r="P64" s="1216"/>
      <c r="Q64" s="1216"/>
      <c r="R64" s="1216"/>
    </row>
    <row r="65" spans="2:18" s="1217" customFormat="1" x14ac:dyDescent="0.2">
      <c r="B65" s="1424" t="s">
        <v>749</v>
      </c>
      <c r="C65" s="3040"/>
      <c r="D65" s="3041"/>
      <c r="E65" s="1558"/>
      <c r="F65" s="1558"/>
      <c r="G65" s="2033"/>
      <c r="H65" s="1426">
        <v>1.3</v>
      </c>
      <c r="I65" s="1426">
        <f t="shared" si="21"/>
        <v>0</v>
      </c>
      <c r="J65" s="1390">
        <f t="shared" si="19"/>
        <v>0</v>
      </c>
      <c r="L65" s="1216"/>
      <c r="M65" s="1216">
        <f t="shared" si="20"/>
        <v>0</v>
      </c>
      <c r="N65" s="1216"/>
      <c r="O65" s="1216"/>
      <c r="P65" s="1216"/>
      <c r="Q65" s="1216"/>
      <c r="R65" s="1216"/>
    </row>
    <row r="66" spans="2:18" s="1217" customFormat="1" x14ac:dyDescent="0.2">
      <c r="B66" s="1424" t="s">
        <v>750</v>
      </c>
      <c r="C66" s="3040"/>
      <c r="D66" s="3041"/>
      <c r="E66" s="1558"/>
      <c r="F66" s="1558"/>
      <c r="G66" s="2033"/>
      <c r="H66" s="1426">
        <v>1.3</v>
      </c>
      <c r="I66" s="1426">
        <f t="shared" si="21"/>
        <v>0</v>
      </c>
      <c r="J66" s="1390">
        <f t="shared" si="19"/>
        <v>0</v>
      </c>
      <c r="L66" s="1216"/>
      <c r="M66" s="1216">
        <f t="shared" si="20"/>
        <v>0</v>
      </c>
      <c r="N66" s="1216"/>
      <c r="O66" s="1216"/>
      <c r="P66" s="1216"/>
      <c r="Q66" s="1216"/>
      <c r="R66" s="1216"/>
    </row>
    <row r="67" spans="2:18" s="1217" customFormat="1" x14ac:dyDescent="0.2">
      <c r="B67" s="1424" t="s">
        <v>925</v>
      </c>
      <c r="C67" s="3040"/>
      <c r="D67" s="3041"/>
      <c r="E67" s="1558"/>
      <c r="F67" s="1558"/>
      <c r="G67" s="2033"/>
      <c r="H67" s="1426">
        <v>1.3</v>
      </c>
      <c r="I67" s="1426">
        <f t="shared" si="21"/>
        <v>0</v>
      </c>
      <c r="J67" s="1390">
        <f t="shared" si="19"/>
        <v>0</v>
      </c>
      <c r="L67" s="1216"/>
      <c r="M67" s="1216">
        <f t="shared" si="20"/>
        <v>0</v>
      </c>
      <c r="N67" s="1216"/>
      <c r="O67" s="1216"/>
      <c r="P67" s="1216"/>
      <c r="Q67" s="1216"/>
      <c r="R67" s="1216"/>
    </row>
    <row r="68" spans="2:18" s="1217" customFormat="1" x14ac:dyDescent="0.2">
      <c r="B68" s="1424" t="s">
        <v>926</v>
      </c>
      <c r="C68" s="3040"/>
      <c r="D68" s="3041"/>
      <c r="E68" s="1558"/>
      <c r="F68" s="1558"/>
      <c r="G68" s="2033"/>
      <c r="H68" s="1426">
        <v>1.3</v>
      </c>
      <c r="I68" s="1426">
        <f t="shared" si="21"/>
        <v>0</v>
      </c>
      <c r="J68" s="1390">
        <f t="shared" si="19"/>
        <v>0</v>
      </c>
      <c r="L68" s="1216"/>
      <c r="M68" s="1216">
        <f t="shared" si="20"/>
        <v>0</v>
      </c>
      <c r="N68" s="1216"/>
      <c r="O68" s="1216"/>
      <c r="P68" s="1216"/>
      <c r="Q68" s="1216"/>
      <c r="R68" s="1216"/>
    </row>
    <row r="69" spans="2:18" s="1217" customFormat="1" x14ac:dyDescent="0.2">
      <c r="B69" s="1542"/>
      <c r="C69" s="1328"/>
      <c r="D69" s="1328"/>
      <c r="E69" s="1543"/>
      <c r="F69" s="1544"/>
      <c r="G69" s="1545">
        <f>SUM(M59:M68)</f>
        <v>0</v>
      </c>
      <c r="H69" s="1329" t="s">
        <v>456</v>
      </c>
      <c r="I69" s="1282">
        <f>SUM(I59:I68)</f>
        <v>0</v>
      </c>
      <c r="J69" s="1283">
        <f>SUM(J59:J68)</f>
        <v>0</v>
      </c>
      <c r="L69" s="1216"/>
      <c r="M69" s="1216"/>
      <c r="N69" s="1216"/>
      <c r="O69" s="1216"/>
      <c r="P69" s="1216"/>
      <c r="Q69" s="1216"/>
      <c r="R69" s="1216"/>
    </row>
    <row r="70" spans="2:18" s="1304" customFormat="1" ht="15" x14ac:dyDescent="0.2">
      <c r="B70" s="1434"/>
      <c r="C70" s="1560"/>
      <c r="D70" s="1560"/>
      <c r="E70" s="1560"/>
      <c r="F70" s="1434"/>
      <c r="G70" s="1434"/>
      <c r="H70" s="1560"/>
      <c r="I70" s="1448"/>
      <c r="J70" s="1448"/>
      <c r="L70" s="1302"/>
      <c r="M70" s="1216"/>
      <c r="N70" s="1302"/>
      <c r="O70" s="1302"/>
      <c r="P70" s="1302"/>
      <c r="Q70" s="1302"/>
      <c r="R70" s="1302"/>
    </row>
    <row r="71" spans="2:18" s="1304" customFormat="1" ht="15" x14ac:dyDescent="0.2">
      <c r="B71" s="1434"/>
      <c r="C71" s="1560"/>
      <c r="D71" s="1560"/>
      <c r="E71" s="1560"/>
      <c r="F71" s="1434"/>
      <c r="G71" s="1434"/>
      <c r="H71" s="1560"/>
      <c r="I71" s="1448"/>
      <c r="J71" s="1448"/>
      <c r="L71" s="1302"/>
      <c r="M71" s="1216"/>
      <c r="N71" s="1302"/>
      <c r="O71" s="1302"/>
      <c r="P71" s="1302"/>
      <c r="Q71" s="1302"/>
      <c r="R71" s="1302"/>
    </row>
    <row r="72" spans="2:18" s="1144" customFormat="1" ht="21" customHeight="1" x14ac:dyDescent="0.25">
      <c r="B72" s="1172" t="s">
        <v>927</v>
      </c>
      <c r="C72" s="1534"/>
      <c r="D72" s="1534"/>
      <c r="E72" s="1174"/>
      <c r="F72" s="1176"/>
      <c r="G72" s="1176"/>
      <c r="H72" s="1176"/>
      <c r="I72" s="1176"/>
      <c r="J72" s="1535"/>
      <c r="L72" s="1147"/>
      <c r="M72" s="1216"/>
      <c r="N72" s="1147"/>
      <c r="O72" s="1147"/>
      <c r="P72" s="1147"/>
      <c r="Q72" s="1147"/>
      <c r="R72" s="1147"/>
    </row>
    <row r="73" spans="2:18" s="1198" customFormat="1" x14ac:dyDescent="0.2">
      <c r="B73" s="1271"/>
      <c r="C73" s="3052" t="s">
        <v>922</v>
      </c>
      <c r="D73" s="3054"/>
      <c r="E73" s="1471" t="s">
        <v>914</v>
      </c>
      <c r="F73" s="1272" t="s">
        <v>759</v>
      </c>
      <c r="G73" s="1272" t="s">
        <v>928</v>
      </c>
      <c r="H73" s="1536" t="s">
        <v>638</v>
      </c>
      <c r="I73" s="1537" t="s">
        <v>639</v>
      </c>
      <c r="J73" s="1538" t="s">
        <v>639</v>
      </c>
      <c r="L73" s="1196"/>
      <c r="M73" s="1216"/>
      <c r="N73" s="1196"/>
      <c r="O73" s="1196"/>
      <c r="P73" s="1196"/>
      <c r="Q73" s="1196"/>
      <c r="R73" s="1196"/>
    </row>
    <row r="74" spans="2:18" s="1209" customFormat="1" x14ac:dyDescent="0.2">
      <c r="B74" s="1199"/>
      <c r="C74" s="3091"/>
      <c r="D74" s="3092"/>
      <c r="E74" s="1201"/>
      <c r="F74" s="1201" t="s">
        <v>1217</v>
      </c>
      <c r="G74" s="1540" t="s">
        <v>1245</v>
      </c>
      <c r="H74" s="1320" t="s">
        <v>644</v>
      </c>
      <c r="I74" s="1320" t="s">
        <v>641</v>
      </c>
      <c r="J74" s="1321" t="s">
        <v>510</v>
      </c>
      <c r="L74" s="1207"/>
      <c r="M74" s="1216"/>
      <c r="N74" s="1207"/>
      <c r="O74" s="1207"/>
      <c r="P74" s="1207"/>
      <c r="Q74" s="1207"/>
      <c r="R74" s="1207"/>
    </row>
    <row r="75" spans="2:18" s="1217" customFormat="1" x14ac:dyDescent="0.2">
      <c r="B75" s="1424" t="s">
        <v>743</v>
      </c>
      <c r="C75" s="3040"/>
      <c r="D75" s="3041"/>
      <c r="E75" s="1558"/>
      <c r="F75" s="1558"/>
      <c r="G75" s="2033"/>
      <c r="H75" s="1541">
        <v>1</v>
      </c>
      <c r="I75" s="1426">
        <f>IF(C75&lt;&gt;"",F75*H75*E75,0)</f>
        <v>0</v>
      </c>
      <c r="J75" s="1390">
        <f>I75/15</f>
        <v>0</v>
      </c>
      <c r="L75" s="1216"/>
      <c r="M75" s="1216">
        <f>IF(G75&lt;&gt;"",IF(AND(G75&gt;=$M$12,G75&lt;=$N$12),1,0),0)</f>
        <v>0</v>
      </c>
      <c r="N75" s="1216"/>
      <c r="O75" s="1216"/>
      <c r="P75" s="1216"/>
      <c r="Q75" s="1216"/>
      <c r="R75" s="1216"/>
    </row>
    <row r="76" spans="2:18" s="1217" customFormat="1" x14ac:dyDescent="0.2">
      <c r="B76" s="1424" t="s">
        <v>744</v>
      </c>
      <c r="C76" s="3040"/>
      <c r="D76" s="3041"/>
      <c r="E76" s="1558"/>
      <c r="F76" s="1558"/>
      <c r="G76" s="2033"/>
      <c r="H76" s="1541">
        <v>1</v>
      </c>
      <c r="I76" s="1426">
        <f t="shared" ref="I76:I79" si="22">IF(C76&lt;&gt;"",F76*H76*E76,0)</f>
        <v>0</v>
      </c>
      <c r="J76" s="1390">
        <f>I76/15</f>
        <v>0</v>
      </c>
      <c r="L76" s="1216"/>
      <c r="M76" s="1216">
        <f>IF(G76&lt;&gt;"",IF(AND(G76&gt;=$M$12,G76&lt;=$N$12),1,0),0)</f>
        <v>0</v>
      </c>
      <c r="N76" s="1216"/>
      <c r="O76" s="1216"/>
      <c r="P76" s="1216"/>
      <c r="Q76" s="1216"/>
      <c r="R76" s="1216"/>
    </row>
    <row r="77" spans="2:18" s="1217" customFormat="1" x14ac:dyDescent="0.2">
      <c r="B77" s="1424" t="s">
        <v>745</v>
      </c>
      <c r="C77" s="3040"/>
      <c r="D77" s="3041"/>
      <c r="E77" s="1558"/>
      <c r="F77" s="1558"/>
      <c r="G77" s="2033"/>
      <c r="H77" s="1541">
        <v>1</v>
      </c>
      <c r="I77" s="1426">
        <f t="shared" si="22"/>
        <v>0</v>
      </c>
      <c r="J77" s="1390">
        <f>I77/15</f>
        <v>0</v>
      </c>
      <c r="L77" s="1216"/>
      <c r="M77" s="1216">
        <f>IF(G77&lt;&gt;"",IF(AND(G77&gt;=$M$12,G77&lt;=$N$12),1,0),0)</f>
        <v>0</v>
      </c>
      <c r="N77" s="1216"/>
      <c r="O77" s="1216"/>
      <c r="P77" s="1216"/>
      <c r="Q77" s="1216"/>
      <c r="R77" s="1216"/>
    </row>
    <row r="78" spans="2:18" s="1217" customFormat="1" x14ac:dyDescent="0.2">
      <c r="B78" s="1424" t="s">
        <v>746</v>
      </c>
      <c r="C78" s="3040"/>
      <c r="D78" s="3041"/>
      <c r="E78" s="1558"/>
      <c r="F78" s="1558"/>
      <c r="G78" s="2033"/>
      <c r="H78" s="1541">
        <v>1</v>
      </c>
      <c r="I78" s="1426">
        <f t="shared" si="22"/>
        <v>0</v>
      </c>
      <c r="J78" s="1390">
        <f>I78/15</f>
        <v>0</v>
      </c>
      <c r="L78" s="1216"/>
      <c r="M78" s="1216">
        <f>IF(G78&lt;&gt;"",IF(AND(G78&gt;=$M$12,G78&lt;=$N$12),1,0),0)</f>
        <v>0</v>
      </c>
      <c r="N78" s="1216"/>
      <c r="O78" s="1216"/>
      <c r="P78" s="1216"/>
      <c r="Q78" s="1216"/>
      <c r="R78" s="1216"/>
    </row>
    <row r="79" spans="2:18" s="1217" customFormat="1" x14ac:dyDescent="0.2">
      <c r="B79" s="1424" t="s">
        <v>747</v>
      </c>
      <c r="C79" s="3040"/>
      <c r="D79" s="3041"/>
      <c r="E79" s="1558"/>
      <c r="F79" s="1558"/>
      <c r="G79" s="2033"/>
      <c r="H79" s="1541">
        <v>1</v>
      </c>
      <c r="I79" s="1426">
        <f t="shared" si="22"/>
        <v>0</v>
      </c>
      <c r="J79" s="1390">
        <f>I79/15</f>
        <v>0</v>
      </c>
      <c r="L79" s="1216"/>
      <c r="M79" s="1216">
        <f>IF(G79&lt;&gt;"",IF(AND(G79&gt;=$M$12,G79&lt;=$N$12),1,0),0)</f>
        <v>0</v>
      </c>
      <c r="N79" s="1216"/>
      <c r="O79" s="1216"/>
      <c r="P79" s="1216"/>
      <c r="Q79" s="1216"/>
      <c r="R79" s="1216"/>
    </row>
    <row r="80" spans="2:18" s="1217" customFormat="1" x14ac:dyDescent="0.2">
      <c r="B80" s="1542"/>
      <c r="C80" s="1328"/>
      <c r="D80" s="1328"/>
      <c r="E80" s="1543"/>
      <c r="F80" s="1544"/>
      <c r="G80" s="1545">
        <f>SUM(M75:M79)</f>
        <v>0</v>
      </c>
      <c r="H80" s="1329" t="s">
        <v>456</v>
      </c>
      <c r="I80" s="1282">
        <f>SUM(I75:I79)</f>
        <v>0</v>
      </c>
      <c r="J80" s="1283">
        <f>SUM(J75:J79)</f>
        <v>0</v>
      </c>
      <c r="L80" s="1216"/>
      <c r="M80" s="1216"/>
      <c r="N80" s="1216"/>
      <c r="O80" s="1216"/>
      <c r="P80" s="1216"/>
      <c r="Q80" s="1216"/>
      <c r="R80" s="1216"/>
    </row>
    <row r="81" spans="2:18" s="1304" customFormat="1" ht="15" x14ac:dyDescent="0.2">
      <c r="B81" s="1434"/>
      <c r="C81" s="1560"/>
      <c r="D81" s="1560"/>
      <c r="E81" s="1560"/>
      <c r="F81" s="1434"/>
      <c r="G81" s="1434"/>
      <c r="H81" s="1560"/>
      <c r="I81" s="1448"/>
      <c r="J81" s="1448"/>
      <c r="L81" s="1302"/>
      <c r="M81" s="1216"/>
      <c r="N81" s="1302"/>
      <c r="O81" s="1302"/>
      <c r="P81" s="1302"/>
      <c r="Q81" s="1302"/>
      <c r="R81" s="1302"/>
    </row>
    <row r="82" spans="2:18" s="1304" customFormat="1" ht="15" x14ac:dyDescent="0.2">
      <c r="B82" s="1411"/>
      <c r="C82" s="1561"/>
      <c r="D82" s="1561"/>
      <c r="E82" s="1561"/>
      <c r="F82" s="1411"/>
      <c r="G82" s="1411"/>
      <c r="H82" s="1561"/>
      <c r="I82" s="1447"/>
      <c r="J82" s="1447"/>
      <c r="L82" s="1302"/>
      <c r="M82" s="1216"/>
      <c r="N82" s="1302"/>
      <c r="O82" s="1302"/>
      <c r="P82" s="1302"/>
      <c r="Q82" s="1302"/>
      <c r="R82" s="1302"/>
    </row>
    <row r="83" spans="2:18" s="1144" customFormat="1" ht="34.5" customHeight="1" x14ac:dyDescent="0.2">
      <c r="B83" s="3109" t="s">
        <v>1014</v>
      </c>
      <c r="C83" s="3110"/>
      <c r="D83" s="3110"/>
      <c r="E83" s="3110"/>
      <c r="F83" s="3110"/>
      <c r="G83" s="3110"/>
      <c r="H83" s="3110"/>
      <c r="I83" s="3110"/>
      <c r="J83" s="3111"/>
      <c r="L83" s="1147"/>
      <c r="M83" s="1216"/>
      <c r="N83" s="1147"/>
      <c r="O83" s="1147"/>
      <c r="P83" s="1147"/>
      <c r="Q83" s="1147"/>
      <c r="R83" s="1147"/>
    </row>
    <row r="84" spans="2:18" s="1198" customFormat="1" x14ac:dyDescent="0.2">
      <c r="B84" s="1271"/>
      <c r="C84" s="3052" t="s">
        <v>930</v>
      </c>
      <c r="D84" s="3054"/>
      <c r="E84" s="1272" t="s">
        <v>759</v>
      </c>
      <c r="F84" s="1577" t="s">
        <v>1009</v>
      </c>
      <c r="G84" s="1577" t="s">
        <v>1010</v>
      </c>
      <c r="H84" s="1536" t="s">
        <v>638</v>
      </c>
      <c r="I84" s="1537" t="s">
        <v>639</v>
      </c>
      <c r="J84" s="1538" t="s">
        <v>639</v>
      </c>
      <c r="L84" s="1196"/>
      <c r="M84" s="1216"/>
      <c r="N84" s="1196"/>
      <c r="O84" s="1196"/>
      <c r="P84" s="1196"/>
      <c r="Q84" s="1196"/>
      <c r="R84" s="1196"/>
    </row>
    <row r="85" spans="2:18" s="1209" customFormat="1" x14ac:dyDescent="0.2">
      <c r="B85" s="1199"/>
      <c r="C85" s="1644"/>
      <c r="D85" s="1645"/>
      <c r="E85" s="1201" t="s">
        <v>929</v>
      </c>
      <c r="F85" s="1540" t="s">
        <v>1245</v>
      </c>
      <c r="G85" s="1540" t="s">
        <v>1245</v>
      </c>
      <c r="H85" s="1320" t="s">
        <v>644</v>
      </c>
      <c r="I85" s="1320" t="s">
        <v>641</v>
      </c>
      <c r="J85" s="1321" t="s">
        <v>510</v>
      </c>
      <c r="L85" s="1207"/>
      <c r="M85" s="1216"/>
      <c r="N85" s="1207"/>
      <c r="O85" s="1207"/>
      <c r="P85" s="1207"/>
      <c r="Q85" s="1207"/>
      <c r="R85" s="1207"/>
    </row>
    <row r="86" spans="2:18" s="1217" customFormat="1" x14ac:dyDescent="0.2">
      <c r="B86" s="1424" t="s">
        <v>931</v>
      </c>
      <c r="C86" s="3040"/>
      <c r="D86" s="3041"/>
      <c r="E86" s="1558"/>
      <c r="F86" s="2033"/>
      <c r="G86" s="2033"/>
      <c r="H86" s="1541">
        <v>1</v>
      </c>
      <c r="I86" s="1426">
        <f>IF(C86&lt;&gt;"",E86*H86,0)</f>
        <v>0</v>
      </c>
      <c r="J86" s="1390">
        <f>I86/15</f>
        <v>0</v>
      </c>
      <c r="L86" s="1216"/>
      <c r="M86" s="1216">
        <f>IF(F86&lt;&gt;"",IF(F86&lt;$M$12,0,1),0)</f>
        <v>0</v>
      </c>
      <c r="N86" s="1216">
        <f>IF(G86&lt;&gt;"",IF(G86&gt;$N$12,1,IF(G86&gt;=$M$12,1,0)),0)</f>
        <v>0</v>
      </c>
      <c r="O86" s="1216">
        <f>IF(OR(M86=1,N86=1),1,0)</f>
        <v>0</v>
      </c>
      <c r="P86" s="1216"/>
      <c r="Q86" s="1216"/>
      <c r="R86" s="1216"/>
    </row>
    <row r="87" spans="2:18" s="1217" customFormat="1" x14ac:dyDescent="0.2">
      <c r="B87" s="1424" t="s">
        <v>932</v>
      </c>
      <c r="C87" s="3040"/>
      <c r="D87" s="3041"/>
      <c r="E87" s="1558"/>
      <c r="F87" s="2033"/>
      <c r="G87" s="2033"/>
      <c r="H87" s="1541">
        <v>1</v>
      </c>
      <c r="I87" s="1426">
        <f t="shared" ref="I87:I90" si="23">IF(C87&lt;&gt;"",E87*H87,0)</f>
        <v>0</v>
      </c>
      <c r="J87" s="1390">
        <f>I87/15</f>
        <v>0</v>
      </c>
      <c r="L87" s="1216"/>
      <c r="M87" s="1216">
        <f t="shared" ref="M87:M90" si="24">IF(F87&lt;&gt;"",IF(F87&lt;$M$12,0,1),0)</f>
        <v>0</v>
      </c>
      <c r="N87" s="1216">
        <f t="shared" ref="N87:N90" si="25">IF(G87&lt;&gt;"",IF(G87&gt;$N$12,1,IF(G87&gt;=$M$12,1,0)),0)</f>
        <v>0</v>
      </c>
      <c r="O87" s="1216">
        <f t="shared" ref="O87:O90" si="26">IF(OR(M87=1,N87=1),1,0)</f>
        <v>0</v>
      </c>
      <c r="P87" s="1216"/>
      <c r="Q87" s="1216"/>
      <c r="R87" s="1216"/>
    </row>
    <row r="88" spans="2:18" s="1217" customFormat="1" x14ac:dyDescent="0.2">
      <c r="B88" s="1424" t="s">
        <v>933</v>
      </c>
      <c r="C88" s="3040"/>
      <c r="D88" s="3041"/>
      <c r="E88" s="1558"/>
      <c r="F88" s="2033"/>
      <c r="G88" s="2033"/>
      <c r="H88" s="1541">
        <v>1</v>
      </c>
      <c r="I88" s="1426">
        <f t="shared" si="23"/>
        <v>0</v>
      </c>
      <c r="J88" s="1390">
        <f>I88/15</f>
        <v>0</v>
      </c>
      <c r="L88" s="1216"/>
      <c r="M88" s="1216">
        <f t="shared" si="24"/>
        <v>0</v>
      </c>
      <c r="N88" s="1216">
        <f t="shared" si="25"/>
        <v>0</v>
      </c>
      <c r="O88" s="1216">
        <f t="shared" si="26"/>
        <v>0</v>
      </c>
      <c r="P88" s="1216"/>
      <c r="Q88" s="1216"/>
      <c r="R88" s="1216"/>
    </row>
    <row r="89" spans="2:18" s="1217" customFormat="1" x14ac:dyDescent="0.2">
      <c r="B89" s="1424" t="s">
        <v>934</v>
      </c>
      <c r="C89" s="3040"/>
      <c r="D89" s="3041"/>
      <c r="E89" s="1558"/>
      <c r="F89" s="2033"/>
      <c r="G89" s="2033"/>
      <c r="H89" s="1541">
        <v>1</v>
      </c>
      <c r="I89" s="1426">
        <f t="shared" si="23"/>
        <v>0</v>
      </c>
      <c r="J89" s="1390">
        <f>I89/15</f>
        <v>0</v>
      </c>
      <c r="L89" s="1216"/>
      <c r="M89" s="1216">
        <f t="shared" si="24"/>
        <v>0</v>
      </c>
      <c r="N89" s="1216">
        <f t="shared" si="25"/>
        <v>0</v>
      </c>
      <c r="O89" s="1216">
        <f t="shared" si="26"/>
        <v>0</v>
      </c>
      <c r="P89" s="1216"/>
      <c r="Q89" s="1216"/>
      <c r="R89" s="1216"/>
    </row>
    <row r="90" spans="2:18" s="1217" customFormat="1" x14ac:dyDescent="0.2">
      <c r="B90" s="1424" t="s">
        <v>935</v>
      </c>
      <c r="C90" s="3040"/>
      <c r="D90" s="3041"/>
      <c r="E90" s="1558"/>
      <c r="F90" s="2033"/>
      <c r="G90" s="2033"/>
      <c r="H90" s="1541">
        <v>1</v>
      </c>
      <c r="I90" s="1426">
        <f t="shared" si="23"/>
        <v>0</v>
      </c>
      <c r="J90" s="1390">
        <f>I90/15</f>
        <v>0</v>
      </c>
      <c r="L90" s="1216"/>
      <c r="M90" s="1216">
        <f t="shared" si="24"/>
        <v>0</v>
      </c>
      <c r="N90" s="1216">
        <f t="shared" si="25"/>
        <v>0</v>
      </c>
      <c r="O90" s="1216">
        <f t="shared" si="26"/>
        <v>0</v>
      </c>
      <c r="P90" s="1216"/>
      <c r="Q90" s="1216"/>
      <c r="R90" s="1216"/>
    </row>
    <row r="91" spans="2:18" s="1217" customFormat="1" x14ac:dyDescent="0.2">
      <c r="B91" s="1542"/>
      <c r="C91" s="1328"/>
      <c r="D91" s="1328"/>
      <c r="E91" s="1543"/>
      <c r="F91" s="1544"/>
      <c r="G91" s="1545">
        <f>SUM(O86:O90)</f>
        <v>0</v>
      </c>
      <c r="H91" s="1329" t="s">
        <v>456</v>
      </c>
      <c r="I91" s="1282">
        <f>SUM(I86:I90)</f>
        <v>0</v>
      </c>
      <c r="J91" s="1283">
        <f>SUM(J86:J90)</f>
        <v>0</v>
      </c>
      <c r="L91" s="1216"/>
      <c r="M91" s="1216"/>
      <c r="N91" s="1216"/>
      <c r="O91" s="1216"/>
      <c r="P91" s="1216"/>
      <c r="Q91" s="1216"/>
      <c r="R91" s="1216"/>
    </row>
    <row r="92" spans="2:18" s="1304" customFormat="1" x14ac:dyDescent="0.2">
      <c r="B92" s="1562"/>
      <c r="C92" s="1432"/>
      <c r="D92" s="1432"/>
      <c r="E92" s="1432"/>
      <c r="F92" s="1562"/>
      <c r="G92" s="1562"/>
      <c r="H92" s="1432"/>
      <c r="I92" s="1563"/>
      <c r="J92" s="1563"/>
      <c r="L92" s="1302"/>
      <c r="M92" s="1216"/>
      <c r="N92" s="1302"/>
      <c r="O92" s="1302"/>
      <c r="P92" s="1302"/>
      <c r="Q92" s="1302"/>
      <c r="R92" s="1302"/>
    </row>
    <row r="93" spans="2:18" s="1304" customFormat="1" x14ac:dyDescent="0.2">
      <c r="B93" s="1502"/>
      <c r="C93" s="1564"/>
      <c r="D93" s="1564"/>
      <c r="E93" s="1564"/>
      <c r="F93" s="1502"/>
      <c r="G93" s="1502"/>
      <c r="H93" s="1564"/>
      <c r="I93" s="1565"/>
      <c r="J93" s="1565"/>
      <c r="L93" s="1302"/>
      <c r="M93" s="1216"/>
      <c r="N93" s="1302"/>
      <c r="O93" s="1302"/>
      <c r="P93" s="1302"/>
      <c r="Q93" s="1302"/>
      <c r="R93" s="1302"/>
    </row>
    <row r="94" spans="2:18" s="1144" customFormat="1" ht="35.25" customHeight="1" x14ac:dyDescent="0.25">
      <c r="B94" s="3106" t="s">
        <v>936</v>
      </c>
      <c r="C94" s="3107"/>
      <c r="D94" s="3107"/>
      <c r="E94" s="3107"/>
      <c r="F94" s="3107"/>
      <c r="G94" s="3107"/>
      <c r="H94" s="3107"/>
      <c r="I94" s="3107"/>
      <c r="J94" s="3108"/>
      <c r="L94" s="1147"/>
      <c r="M94" s="1216"/>
      <c r="N94" s="1147"/>
      <c r="O94" s="1147"/>
      <c r="P94" s="1147"/>
      <c r="Q94" s="1147"/>
      <c r="R94" s="1147"/>
    </row>
    <row r="95" spans="2:18" s="1198" customFormat="1" x14ac:dyDescent="0.2">
      <c r="B95" s="1271"/>
      <c r="C95" s="3052" t="s">
        <v>937</v>
      </c>
      <c r="D95" s="3053"/>
      <c r="E95" s="3054"/>
      <c r="F95" s="1272" t="s">
        <v>759</v>
      </c>
      <c r="G95" s="1272" t="s">
        <v>928</v>
      </c>
      <c r="H95" s="1536" t="s">
        <v>638</v>
      </c>
      <c r="I95" s="1537" t="s">
        <v>639</v>
      </c>
      <c r="J95" s="1538" t="s">
        <v>639</v>
      </c>
      <c r="L95" s="1196"/>
      <c r="M95" s="1216"/>
      <c r="N95" s="1196"/>
      <c r="O95" s="1196"/>
      <c r="P95" s="1196"/>
      <c r="Q95" s="1196"/>
      <c r="R95" s="1196"/>
    </row>
    <row r="96" spans="2:18" s="1209" customFormat="1" x14ac:dyDescent="0.2">
      <c r="B96" s="1199"/>
      <c r="C96" s="3095"/>
      <c r="D96" s="3096"/>
      <c r="E96" s="3097"/>
      <c r="F96" s="1201" t="s">
        <v>929</v>
      </c>
      <c r="G96" s="1540" t="s">
        <v>1245</v>
      </c>
      <c r="H96" s="1320" t="s">
        <v>644</v>
      </c>
      <c r="I96" s="1320" t="s">
        <v>641</v>
      </c>
      <c r="J96" s="1321" t="s">
        <v>510</v>
      </c>
      <c r="L96" s="1207"/>
      <c r="M96" s="1216"/>
      <c r="N96" s="1207"/>
      <c r="O96" s="1207"/>
      <c r="P96" s="1207"/>
      <c r="Q96" s="1207"/>
      <c r="R96" s="1207"/>
    </row>
    <row r="97" spans="2:18" s="1217" customFormat="1" x14ac:dyDescent="0.2">
      <c r="B97" s="1424" t="s">
        <v>743</v>
      </c>
      <c r="C97" s="3040"/>
      <c r="D97" s="3058"/>
      <c r="E97" s="3041"/>
      <c r="F97" s="1558"/>
      <c r="G97" s="2033"/>
      <c r="H97" s="1541">
        <v>1</v>
      </c>
      <c r="I97" s="1426">
        <f>IF(C97&lt;&gt;"",F97*H97,0)</f>
        <v>0</v>
      </c>
      <c r="J97" s="1390">
        <f>I97/15</f>
        <v>0</v>
      </c>
      <c r="L97" s="1216"/>
      <c r="M97" s="1216">
        <f>IF(G97&lt;&gt;"",IF(AND(G97&gt;=$M$12,G97&lt;=$N$12),1,0),0)</f>
        <v>0</v>
      </c>
      <c r="N97" s="1216"/>
      <c r="O97" s="1216"/>
      <c r="P97" s="1216"/>
      <c r="Q97" s="1216"/>
      <c r="R97" s="1216"/>
    </row>
    <row r="98" spans="2:18" s="1217" customFormat="1" x14ac:dyDescent="0.2">
      <c r="B98" s="1424" t="s">
        <v>744</v>
      </c>
      <c r="C98" s="3040"/>
      <c r="D98" s="3058"/>
      <c r="E98" s="3041"/>
      <c r="F98" s="1558"/>
      <c r="G98" s="2033"/>
      <c r="H98" s="1541">
        <v>1</v>
      </c>
      <c r="I98" s="1426">
        <f t="shared" ref="I98:I101" si="27">IF(C98&lt;&gt;"",F98*H98,0)</f>
        <v>0</v>
      </c>
      <c r="J98" s="1390">
        <f>I98/15</f>
        <v>0</v>
      </c>
      <c r="L98" s="1216"/>
      <c r="M98" s="1216">
        <f>IF(G98&lt;&gt;"",IF(AND(G98&gt;=$M$12,G98&lt;=$N$12),1,0),0)</f>
        <v>0</v>
      </c>
      <c r="N98" s="1216"/>
      <c r="O98" s="1216"/>
      <c r="P98" s="1216"/>
      <c r="Q98" s="1216"/>
      <c r="R98" s="1216"/>
    </row>
    <row r="99" spans="2:18" s="1217" customFormat="1" x14ac:dyDescent="0.2">
      <c r="B99" s="1424" t="s">
        <v>745</v>
      </c>
      <c r="C99" s="3040"/>
      <c r="D99" s="3058"/>
      <c r="E99" s="3041"/>
      <c r="F99" s="1558"/>
      <c r="G99" s="2033"/>
      <c r="H99" s="1541">
        <v>1</v>
      </c>
      <c r="I99" s="1426">
        <f t="shared" si="27"/>
        <v>0</v>
      </c>
      <c r="J99" s="1390">
        <f>I99/15</f>
        <v>0</v>
      </c>
      <c r="L99" s="1216"/>
      <c r="M99" s="1216">
        <f>IF(G99&lt;&gt;"",IF(AND(G99&gt;=$M$12,G99&lt;=$N$12),1,0),0)</f>
        <v>0</v>
      </c>
      <c r="N99" s="1216"/>
      <c r="O99" s="1216"/>
      <c r="P99" s="1216"/>
      <c r="Q99" s="1216"/>
      <c r="R99" s="1216"/>
    </row>
    <row r="100" spans="2:18" s="1217" customFormat="1" x14ac:dyDescent="0.2">
      <c r="B100" s="1424" t="s">
        <v>746</v>
      </c>
      <c r="C100" s="3040"/>
      <c r="D100" s="3058"/>
      <c r="E100" s="3041"/>
      <c r="F100" s="1558"/>
      <c r="G100" s="2033"/>
      <c r="H100" s="1541">
        <v>1</v>
      </c>
      <c r="I100" s="1426">
        <f t="shared" si="27"/>
        <v>0</v>
      </c>
      <c r="J100" s="1390">
        <f>I100/15</f>
        <v>0</v>
      </c>
      <c r="L100" s="1216"/>
      <c r="M100" s="1216">
        <f>IF(G100&lt;&gt;"",IF(AND(G100&gt;=$M$12,G100&lt;=$N$12),1,0),0)</f>
        <v>0</v>
      </c>
      <c r="N100" s="1216"/>
      <c r="O100" s="1216"/>
      <c r="P100" s="1216"/>
      <c r="Q100" s="1216"/>
      <c r="R100" s="1216"/>
    </row>
    <row r="101" spans="2:18" s="1217" customFormat="1" x14ac:dyDescent="0.2">
      <c r="B101" s="1424" t="s">
        <v>747</v>
      </c>
      <c r="C101" s="3040"/>
      <c r="D101" s="3058"/>
      <c r="E101" s="3041"/>
      <c r="F101" s="1558"/>
      <c r="G101" s="2033"/>
      <c r="H101" s="1541">
        <v>1</v>
      </c>
      <c r="I101" s="1426">
        <f t="shared" si="27"/>
        <v>0</v>
      </c>
      <c r="J101" s="1390">
        <f>I101/15</f>
        <v>0</v>
      </c>
      <c r="L101" s="1216"/>
      <c r="M101" s="1216">
        <f>IF(G101&lt;&gt;"",IF(AND(G101&gt;=$M$12,G101&lt;=$N$12),1,0),0)</f>
        <v>0</v>
      </c>
      <c r="N101" s="1216"/>
      <c r="O101" s="1216"/>
      <c r="P101" s="1216"/>
      <c r="Q101" s="1216"/>
      <c r="R101" s="1216"/>
    </row>
    <row r="102" spans="2:18" s="1217" customFormat="1" x14ac:dyDescent="0.2">
      <c r="B102" s="1542"/>
      <c r="C102" s="1328"/>
      <c r="D102" s="1328"/>
      <c r="E102" s="1543"/>
      <c r="F102" s="1544"/>
      <c r="G102" s="1545">
        <f>SUM(M97:M101)</f>
        <v>0</v>
      </c>
      <c r="H102" s="1329" t="s">
        <v>456</v>
      </c>
      <c r="I102" s="1282">
        <f>SUM(I97:I101)</f>
        <v>0</v>
      </c>
      <c r="J102" s="1283">
        <f>SUM(J97:J101)</f>
        <v>0</v>
      </c>
      <c r="L102" s="1216"/>
      <c r="M102" s="1216"/>
      <c r="N102" s="1216"/>
      <c r="O102" s="1216"/>
      <c r="P102" s="1216"/>
      <c r="Q102" s="1216"/>
      <c r="R102" s="1216"/>
    </row>
    <row r="103" spans="2:18" s="1304" customFormat="1" ht="12" customHeight="1" x14ac:dyDescent="0.2">
      <c r="B103" s="1298"/>
      <c r="C103" s="1299"/>
      <c r="D103" s="1299"/>
      <c r="E103" s="1299"/>
      <c r="F103" s="1298"/>
      <c r="G103" s="1298"/>
      <c r="H103" s="1299"/>
      <c r="I103" s="1433"/>
      <c r="J103" s="1433"/>
      <c r="L103" s="1302"/>
      <c r="M103" s="1216"/>
      <c r="N103" s="1302"/>
      <c r="O103" s="1302"/>
      <c r="P103" s="1302"/>
      <c r="Q103" s="1302"/>
      <c r="R103" s="1302"/>
    </row>
    <row r="104" spans="2:18" s="1304" customFormat="1" ht="12" customHeight="1" x14ac:dyDescent="0.2">
      <c r="B104" s="1434"/>
      <c r="C104" s="1560"/>
      <c r="D104" s="1560"/>
      <c r="E104" s="1560"/>
      <c r="F104" s="1434"/>
      <c r="G104" s="1434"/>
      <c r="H104" s="1560"/>
      <c r="I104" s="1448"/>
      <c r="J104" s="1448"/>
      <c r="L104" s="1302"/>
      <c r="M104" s="1216"/>
      <c r="N104" s="1302"/>
      <c r="O104" s="1302"/>
      <c r="P104" s="1302"/>
      <c r="Q104" s="1302"/>
      <c r="R104" s="1302"/>
    </row>
    <row r="105" spans="2:18" s="1144" customFormat="1" ht="21" customHeight="1" x14ac:dyDescent="0.25">
      <c r="B105" s="1172" t="s">
        <v>938</v>
      </c>
      <c r="C105" s="1534"/>
      <c r="D105" s="1534"/>
      <c r="E105" s="1174"/>
      <c r="F105" s="1176"/>
      <c r="G105" s="1176"/>
      <c r="H105" s="1176"/>
      <c r="I105" s="1176"/>
      <c r="J105" s="1535"/>
      <c r="L105" s="1147"/>
      <c r="M105" s="1216"/>
      <c r="N105" s="1147"/>
      <c r="O105" s="1147"/>
      <c r="P105" s="1147"/>
      <c r="Q105" s="1147"/>
      <c r="R105" s="1147"/>
    </row>
    <row r="106" spans="2:18" s="1198" customFormat="1" x14ac:dyDescent="0.2">
      <c r="B106" s="1271"/>
      <c r="C106" s="3052" t="s">
        <v>937</v>
      </c>
      <c r="D106" s="3053"/>
      <c r="E106" s="3053"/>
      <c r="F106" s="3054"/>
      <c r="G106" s="1272" t="s">
        <v>928</v>
      </c>
      <c r="H106" s="1536" t="s">
        <v>638</v>
      </c>
      <c r="I106" s="1537" t="s">
        <v>639</v>
      </c>
      <c r="J106" s="1538" t="s">
        <v>639</v>
      </c>
      <c r="L106" s="1196"/>
      <c r="M106" s="1216"/>
      <c r="N106" s="1196"/>
      <c r="O106" s="1196"/>
      <c r="P106" s="1196"/>
      <c r="Q106" s="1196"/>
      <c r="R106" s="1196"/>
    </row>
    <row r="107" spans="2:18" s="1209" customFormat="1" x14ac:dyDescent="0.2">
      <c r="B107" s="1311"/>
      <c r="C107" s="3093"/>
      <c r="D107" s="3094"/>
      <c r="E107" s="3094"/>
      <c r="F107" s="1567"/>
      <c r="G107" s="1568" t="s">
        <v>1245</v>
      </c>
      <c r="H107" s="1569" t="s">
        <v>644</v>
      </c>
      <c r="I107" s="1569" t="s">
        <v>641</v>
      </c>
      <c r="J107" s="1570" t="s">
        <v>510</v>
      </c>
      <c r="L107" s="1207"/>
      <c r="M107" s="1216"/>
      <c r="N107" s="1207"/>
      <c r="O107" s="1207"/>
      <c r="P107" s="1207"/>
      <c r="Q107" s="1207"/>
      <c r="R107" s="1207"/>
    </row>
    <row r="108" spans="2:18" s="1217" customFormat="1" x14ac:dyDescent="0.2">
      <c r="B108" s="1424" t="s">
        <v>743</v>
      </c>
      <c r="C108" s="3040"/>
      <c r="D108" s="3058"/>
      <c r="E108" s="3058"/>
      <c r="F108" s="3041"/>
      <c r="G108" s="2031"/>
      <c r="H108" s="1541">
        <v>5</v>
      </c>
      <c r="I108" s="1426">
        <f>IF(C108&lt;&gt;"",H108,0)</f>
        <v>0</v>
      </c>
      <c r="J108" s="1390">
        <f>I108/15</f>
        <v>0</v>
      </c>
      <c r="L108" s="1216"/>
      <c r="M108" s="1216">
        <f>IF(G108&lt;&gt;"",IF(AND(G108&gt;=$M$12,G108&lt;=$N$12),1,0),0)</f>
        <v>0</v>
      </c>
      <c r="N108" s="1216"/>
      <c r="O108" s="1216"/>
      <c r="P108" s="1216"/>
      <c r="Q108" s="1216"/>
      <c r="R108" s="1216"/>
    </row>
    <row r="109" spans="2:18" s="1217" customFormat="1" x14ac:dyDescent="0.2">
      <c r="B109" s="1424" t="s">
        <v>744</v>
      </c>
      <c r="C109" s="3040"/>
      <c r="D109" s="3058"/>
      <c r="E109" s="3058"/>
      <c r="F109" s="3041"/>
      <c r="G109" s="2031"/>
      <c r="H109" s="1541">
        <v>5</v>
      </c>
      <c r="I109" s="1426">
        <f>IF(C109&lt;&gt;"",H109,0)</f>
        <v>0</v>
      </c>
      <c r="J109" s="1390">
        <f>I109/15</f>
        <v>0</v>
      </c>
      <c r="L109" s="1216"/>
      <c r="M109" s="1216">
        <f>IF(G109&lt;&gt;"",IF(AND(G109&gt;=$M$12,G109&lt;=$N$12),1,0),0)</f>
        <v>0</v>
      </c>
      <c r="N109" s="1216"/>
      <c r="O109" s="1216"/>
      <c r="P109" s="1216"/>
      <c r="Q109" s="1216"/>
      <c r="R109" s="1216"/>
    </row>
    <row r="110" spans="2:18" s="1217" customFormat="1" x14ac:dyDescent="0.2">
      <c r="B110" s="1424" t="s">
        <v>745</v>
      </c>
      <c r="C110" s="3040"/>
      <c r="D110" s="3058"/>
      <c r="E110" s="3058"/>
      <c r="F110" s="3041"/>
      <c r="G110" s="2031"/>
      <c r="H110" s="1541">
        <v>5</v>
      </c>
      <c r="I110" s="1426">
        <f>IF(C110&lt;&gt;"",H110,0)</f>
        <v>0</v>
      </c>
      <c r="J110" s="1390">
        <f>I110/15</f>
        <v>0</v>
      </c>
      <c r="L110" s="1216"/>
      <c r="M110" s="1216">
        <f>IF(G110&lt;&gt;"",IF(AND(G110&gt;=$M$12,G110&lt;=$N$12),1,0),0)</f>
        <v>0</v>
      </c>
      <c r="N110" s="1216"/>
      <c r="O110" s="1216"/>
      <c r="P110" s="1216"/>
      <c r="Q110" s="1216"/>
      <c r="R110" s="1216"/>
    </row>
    <row r="111" spans="2:18" s="1217" customFormat="1" x14ac:dyDescent="0.2">
      <c r="B111" s="1424" t="s">
        <v>746</v>
      </c>
      <c r="C111" s="3040"/>
      <c r="D111" s="3058"/>
      <c r="E111" s="3058"/>
      <c r="F111" s="3041"/>
      <c r="G111" s="2031"/>
      <c r="H111" s="1541">
        <v>5</v>
      </c>
      <c r="I111" s="1426">
        <f>IF(C111&lt;&gt;"",H111,0)</f>
        <v>0</v>
      </c>
      <c r="J111" s="1390">
        <f>I111/15</f>
        <v>0</v>
      </c>
      <c r="L111" s="1216"/>
      <c r="M111" s="1216">
        <f>IF(G111&lt;&gt;"",IF(AND(G111&gt;=$M$12,G111&lt;=$N$12),1,0),0)</f>
        <v>0</v>
      </c>
      <c r="N111" s="1216"/>
      <c r="O111" s="1216"/>
      <c r="P111" s="1216"/>
      <c r="Q111" s="1216"/>
      <c r="R111" s="1216"/>
    </row>
    <row r="112" spans="2:18" s="1217" customFormat="1" x14ac:dyDescent="0.2">
      <c r="B112" s="1424" t="s">
        <v>747</v>
      </c>
      <c r="C112" s="3040"/>
      <c r="D112" s="3058"/>
      <c r="E112" s="3058"/>
      <c r="F112" s="3041"/>
      <c r="G112" s="2031"/>
      <c r="H112" s="1541">
        <v>5</v>
      </c>
      <c r="I112" s="1426">
        <f>IF(C112&lt;&gt;"",H112,0)</f>
        <v>0</v>
      </c>
      <c r="J112" s="1390">
        <f>I112/15</f>
        <v>0</v>
      </c>
      <c r="L112" s="1216"/>
      <c r="M112" s="1216">
        <f>IF(G112&lt;&gt;"",IF(AND(G112&gt;=$M$12,G112&lt;=$N$12),1,0),0)</f>
        <v>0</v>
      </c>
      <c r="N112" s="1216"/>
      <c r="O112" s="1216"/>
      <c r="P112" s="1216"/>
      <c r="Q112" s="1216"/>
      <c r="R112" s="1216"/>
    </row>
    <row r="113" spans="2:18" s="1217" customFormat="1" x14ac:dyDescent="0.2">
      <c r="B113" s="1542"/>
      <c r="C113" s="1328"/>
      <c r="D113" s="1328"/>
      <c r="E113" s="1543"/>
      <c r="F113" s="1544"/>
      <c r="G113" s="1545">
        <f>SUM(M108:M111)</f>
        <v>0</v>
      </c>
      <c r="H113" s="1329" t="s">
        <v>456</v>
      </c>
      <c r="I113" s="1282">
        <f>SUM(I108:I112)</f>
        <v>0</v>
      </c>
      <c r="J113" s="1283">
        <f>SUM(J108:J112)</f>
        <v>0</v>
      </c>
      <c r="L113" s="1216"/>
      <c r="M113" s="1216"/>
      <c r="N113" s="1216"/>
      <c r="O113" s="1216"/>
      <c r="P113" s="1216"/>
      <c r="Q113" s="1216"/>
      <c r="R113" s="1216"/>
    </row>
    <row r="114" spans="2:18" s="1304" customFormat="1" ht="12" customHeight="1" x14ac:dyDescent="0.2">
      <c r="B114" s="1298"/>
      <c r="C114" s="1299"/>
      <c r="D114" s="1299"/>
      <c r="E114" s="1299"/>
      <c r="F114" s="1298"/>
      <c r="G114" s="1298"/>
      <c r="H114" s="1299"/>
      <c r="I114" s="1433"/>
      <c r="J114" s="1433"/>
      <c r="L114" s="1302"/>
      <c r="M114" s="1216"/>
      <c r="N114" s="1302"/>
      <c r="O114" s="1302"/>
      <c r="P114" s="1302"/>
      <c r="Q114" s="1302"/>
      <c r="R114" s="1302"/>
    </row>
    <row r="115" spans="2:18" s="1334" customFormat="1" ht="12" customHeight="1" x14ac:dyDescent="0.2">
      <c r="B115" s="1434"/>
      <c r="C115" s="1560"/>
      <c r="D115" s="1560"/>
      <c r="E115" s="1560"/>
      <c r="F115" s="1434"/>
      <c r="G115" s="1434"/>
      <c r="H115" s="1560"/>
      <c r="I115" s="1448"/>
      <c r="J115" s="1448"/>
      <c r="L115" s="1571"/>
      <c r="M115" s="1362"/>
      <c r="N115" s="1571"/>
      <c r="O115" s="1571"/>
      <c r="P115" s="1571"/>
      <c r="Q115" s="1571"/>
      <c r="R115" s="1571"/>
    </row>
    <row r="116" spans="2:18" s="1144" customFormat="1" ht="21" customHeight="1" x14ac:dyDescent="0.25">
      <c r="B116" s="1172" t="s">
        <v>939</v>
      </c>
      <c r="C116" s="1534"/>
      <c r="D116" s="1534"/>
      <c r="E116" s="1174"/>
      <c r="F116" s="1176"/>
      <c r="G116" s="1176"/>
      <c r="H116" s="1176"/>
      <c r="I116" s="1176"/>
      <c r="J116" s="1535"/>
      <c r="L116" s="1147"/>
      <c r="M116" s="1216"/>
      <c r="N116" s="1147"/>
      <c r="O116" s="1147"/>
      <c r="P116" s="1147"/>
      <c r="Q116" s="1147"/>
      <c r="R116" s="1147"/>
    </row>
    <row r="117" spans="2:18" s="1187" customFormat="1" ht="20.25" customHeight="1" x14ac:dyDescent="0.2">
      <c r="B117" s="1436" t="s">
        <v>940</v>
      </c>
      <c r="C117" s="1572"/>
      <c r="D117" s="1572"/>
      <c r="E117" s="1449"/>
      <c r="F117" s="1450"/>
      <c r="G117" s="1450"/>
      <c r="H117" s="1450"/>
      <c r="I117" s="1450"/>
      <c r="J117" s="1452"/>
      <c r="L117" s="1185"/>
      <c r="M117" s="1216"/>
      <c r="N117" s="1185"/>
      <c r="O117" s="1185"/>
      <c r="P117" s="1185"/>
      <c r="Q117" s="1185"/>
      <c r="R117" s="1185"/>
    </row>
    <row r="118" spans="2:18" s="1198" customFormat="1" x14ac:dyDescent="0.2">
      <c r="B118" s="1271"/>
      <c r="C118" s="3052" t="s">
        <v>865</v>
      </c>
      <c r="D118" s="3054"/>
      <c r="E118" s="1272" t="s">
        <v>941</v>
      </c>
      <c r="F118" s="1471" t="s">
        <v>942</v>
      </c>
      <c r="G118" s="1272" t="s">
        <v>928</v>
      </c>
      <c r="H118" s="1536" t="s">
        <v>638</v>
      </c>
      <c r="I118" s="1537" t="s">
        <v>639</v>
      </c>
      <c r="J118" s="1538" t="s">
        <v>639</v>
      </c>
      <c r="L118" s="1196"/>
      <c r="M118" s="1216"/>
      <c r="N118" s="1196"/>
      <c r="O118" s="1196"/>
      <c r="P118" s="1196"/>
      <c r="Q118" s="1196"/>
      <c r="R118" s="1196"/>
    </row>
    <row r="119" spans="2:18" s="1209" customFormat="1" x14ac:dyDescent="0.2">
      <c r="B119" s="1199"/>
      <c r="C119" s="3095"/>
      <c r="D119" s="3097"/>
      <c r="E119" s="1368" t="s">
        <v>827</v>
      </c>
      <c r="F119" s="1368"/>
      <c r="G119" s="1568" t="s">
        <v>1245</v>
      </c>
      <c r="H119" s="1320" t="s">
        <v>644</v>
      </c>
      <c r="I119" s="1320" t="s">
        <v>641</v>
      </c>
      <c r="J119" s="1321" t="s">
        <v>510</v>
      </c>
      <c r="L119" s="1207"/>
      <c r="M119" s="1216"/>
      <c r="N119" s="1207"/>
      <c r="O119" s="1207"/>
      <c r="P119" s="1207"/>
      <c r="Q119" s="1207"/>
      <c r="R119" s="1207"/>
    </row>
    <row r="120" spans="2:18" s="1217" customFormat="1" x14ac:dyDescent="0.2">
      <c r="B120" s="1573" t="s">
        <v>743</v>
      </c>
      <c r="C120" s="3112" t="s">
        <v>1317</v>
      </c>
      <c r="D120" s="3113"/>
      <c r="E120" s="1474" t="s">
        <v>290</v>
      </c>
      <c r="F120" s="1574">
        <v>2</v>
      </c>
      <c r="G120" s="2037"/>
      <c r="H120" s="1541">
        <f t="shared" ref="H120:H129" si="28">IF(E120="",0,IF(E120="ระดับชาติ",4,IF(E120="ระดับนานาชาติ",5,0)))</f>
        <v>4</v>
      </c>
      <c r="I120" s="1426">
        <f>IF(F120&gt;=1,F120*H120,0)</f>
        <v>8</v>
      </c>
      <c r="J120" s="1390">
        <f t="shared" ref="J120:J129" si="29">I120/15</f>
        <v>0.53333333333333333</v>
      </c>
      <c r="L120" s="1216"/>
      <c r="M120" s="1216">
        <f t="shared" ref="M120:M129" si="30">IF(G120&lt;&gt;"",IF(AND(G120&gt;=$M$12,G120&lt;=$N$12),1,0),0)</f>
        <v>0</v>
      </c>
      <c r="N120" s="1216"/>
      <c r="O120" s="1216"/>
      <c r="P120" s="1216"/>
      <c r="Q120" s="1216"/>
      <c r="R120" s="1216"/>
    </row>
    <row r="121" spans="2:18" s="1217" customFormat="1" x14ac:dyDescent="0.2">
      <c r="B121" s="1573" t="s">
        <v>744</v>
      </c>
      <c r="C121" s="3112"/>
      <c r="D121" s="3113"/>
      <c r="E121" s="1474"/>
      <c r="F121" s="1574"/>
      <c r="G121" s="2037"/>
      <c r="H121" s="1541">
        <f t="shared" si="28"/>
        <v>0</v>
      </c>
      <c r="I121" s="1426">
        <f t="shared" ref="I121:I129" si="31">IF(F121&gt;=1,F121*H121,0)</f>
        <v>0</v>
      </c>
      <c r="J121" s="1390">
        <f t="shared" si="29"/>
        <v>0</v>
      </c>
      <c r="L121" s="1216"/>
      <c r="M121" s="1216">
        <f t="shared" si="30"/>
        <v>0</v>
      </c>
      <c r="N121" s="1216"/>
      <c r="O121" s="1216"/>
      <c r="P121" s="1216"/>
      <c r="Q121" s="1216"/>
      <c r="R121" s="1216"/>
    </row>
    <row r="122" spans="2:18" s="1217" customFormat="1" x14ac:dyDescent="0.2">
      <c r="B122" s="1573" t="s">
        <v>745</v>
      </c>
      <c r="C122" s="3112"/>
      <c r="D122" s="3113"/>
      <c r="E122" s="1474"/>
      <c r="F122" s="1574"/>
      <c r="G122" s="2037"/>
      <c r="H122" s="1541">
        <f t="shared" si="28"/>
        <v>0</v>
      </c>
      <c r="I122" s="1426">
        <f t="shared" si="31"/>
        <v>0</v>
      </c>
      <c r="J122" s="1390">
        <f t="shared" si="29"/>
        <v>0</v>
      </c>
      <c r="L122" s="1216"/>
      <c r="M122" s="1216">
        <f t="shared" si="30"/>
        <v>0</v>
      </c>
      <c r="N122" s="1216"/>
      <c r="O122" s="1216"/>
      <c r="P122" s="1216"/>
      <c r="Q122" s="1216"/>
      <c r="R122" s="1216"/>
    </row>
    <row r="123" spans="2:18" s="1217" customFormat="1" x14ac:dyDescent="0.2">
      <c r="B123" s="1573" t="s">
        <v>746</v>
      </c>
      <c r="C123" s="3112"/>
      <c r="D123" s="3113"/>
      <c r="E123" s="1474"/>
      <c r="F123" s="1574"/>
      <c r="G123" s="2037"/>
      <c r="H123" s="1541">
        <f t="shared" si="28"/>
        <v>0</v>
      </c>
      <c r="I123" s="1426">
        <f t="shared" si="31"/>
        <v>0</v>
      </c>
      <c r="J123" s="1390">
        <f t="shared" si="29"/>
        <v>0</v>
      </c>
      <c r="L123" s="1216"/>
      <c r="M123" s="1216">
        <f t="shared" si="30"/>
        <v>0</v>
      </c>
      <c r="N123" s="1216"/>
      <c r="O123" s="1216"/>
      <c r="P123" s="1216"/>
      <c r="Q123" s="1216"/>
      <c r="R123" s="1216"/>
    </row>
    <row r="124" spans="2:18" s="1217" customFormat="1" x14ac:dyDescent="0.2">
      <c r="B124" s="1573" t="s">
        <v>747</v>
      </c>
      <c r="C124" s="3112"/>
      <c r="D124" s="3113"/>
      <c r="E124" s="1474"/>
      <c r="F124" s="1574"/>
      <c r="G124" s="2037"/>
      <c r="H124" s="1541">
        <f t="shared" si="28"/>
        <v>0</v>
      </c>
      <c r="I124" s="1426">
        <f t="shared" si="31"/>
        <v>0</v>
      </c>
      <c r="J124" s="1390">
        <f t="shared" si="29"/>
        <v>0</v>
      </c>
      <c r="L124" s="1216"/>
      <c r="M124" s="1216">
        <f t="shared" si="30"/>
        <v>0</v>
      </c>
      <c r="N124" s="1216"/>
      <c r="O124" s="1216"/>
      <c r="P124" s="1216"/>
      <c r="Q124" s="1216"/>
      <c r="R124" s="1216"/>
    </row>
    <row r="125" spans="2:18" s="1217" customFormat="1" x14ac:dyDescent="0.2">
      <c r="B125" s="1573" t="s">
        <v>748</v>
      </c>
      <c r="C125" s="3112"/>
      <c r="D125" s="3113"/>
      <c r="E125" s="1474"/>
      <c r="F125" s="1574"/>
      <c r="G125" s="2037"/>
      <c r="H125" s="1541">
        <f t="shared" si="28"/>
        <v>0</v>
      </c>
      <c r="I125" s="1426">
        <f t="shared" si="31"/>
        <v>0</v>
      </c>
      <c r="J125" s="1390">
        <f t="shared" si="29"/>
        <v>0</v>
      </c>
      <c r="L125" s="1216"/>
      <c r="M125" s="1216">
        <f t="shared" si="30"/>
        <v>0</v>
      </c>
      <c r="N125" s="1216"/>
      <c r="O125" s="1216"/>
      <c r="P125" s="1216"/>
      <c r="Q125" s="1216"/>
      <c r="R125" s="1216"/>
    </row>
    <row r="126" spans="2:18" s="1217" customFormat="1" x14ac:dyDescent="0.2">
      <c r="B126" s="1573" t="s">
        <v>749</v>
      </c>
      <c r="C126" s="3112"/>
      <c r="D126" s="3113"/>
      <c r="E126" s="1474"/>
      <c r="F126" s="1574"/>
      <c r="G126" s="2037"/>
      <c r="H126" s="1541">
        <f t="shared" si="28"/>
        <v>0</v>
      </c>
      <c r="I126" s="1426">
        <f t="shared" si="31"/>
        <v>0</v>
      </c>
      <c r="J126" s="1390">
        <f t="shared" si="29"/>
        <v>0</v>
      </c>
      <c r="L126" s="1216"/>
      <c r="M126" s="1216">
        <f t="shared" si="30"/>
        <v>0</v>
      </c>
      <c r="N126" s="1216"/>
      <c r="O126" s="1216"/>
      <c r="P126" s="1216"/>
      <c r="Q126" s="1216"/>
      <c r="R126" s="1216"/>
    </row>
    <row r="127" spans="2:18" s="1217" customFormat="1" x14ac:dyDescent="0.2">
      <c r="B127" s="1573" t="s">
        <v>750</v>
      </c>
      <c r="C127" s="3112"/>
      <c r="D127" s="3113"/>
      <c r="E127" s="1474"/>
      <c r="F127" s="1574"/>
      <c r="G127" s="2037"/>
      <c r="H127" s="1541">
        <f t="shared" si="28"/>
        <v>0</v>
      </c>
      <c r="I127" s="1426">
        <f t="shared" si="31"/>
        <v>0</v>
      </c>
      <c r="J127" s="1390">
        <f t="shared" si="29"/>
        <v>0</v>
      </c>
      <c r="L127" s="1216"/>
      <c r="M127" s="1216">
        <f t="shared" si="30"/>
        <v>0</v>
      </c>
      <c r="N127" s="1216"/>
      <c r="O127" s="1216"/>
      <c r="P127" s="1216"/>
      <c r="Q127" s="1216"/>
      <c r="R127" s="1216"/>
    </row>
    <row r="128" spans="2:18" s="1217" customFormat="1" x14ac:dyDescent="0.2">
      <c r="B128" s="1573" t="s">
        <v>925</v>
      </c>
      <c r="C128" s="3112"/>
      <c r="D128" s="3113"/>
      <c r="E128" s="1474"/>
      <c r="F128" s="1574"/>
      <c r="G128" s="2037"/>
      <c r="H128" s="1541">
        <f t="shared" si="28"/>
        <v>0</v>
      </c>
      <c r="I128" s="1426">
        <f t="shared" si="31"/>
        <v>0</v>
      </c>
      <c r="J128" s="1390">
        <f t="shared" si="29"/>
        <v>0</v>
      </c>
      <c r="L128" s="1216"/>
      <c r="M128" s="1216">
        <f t="shared" si="30"/>
        <v>0</v>
      </c>
      <c r="N128" s="1216"/>
      <c r="O128" s="1216"/>
      <c r="P128" s="1216"/>
      <c r="Q128" s="1216"/>
      <c r="R128" s="1216"/>
    </row>
    <row r="129" spans="2:18" s="1217" customFormat="1" x14ac:dyDescent="0.2">
      <c r="B129" s="1573" t="s">
        <v>926</v>
      </c>
      <c r="C129" s="3112"/>
      <c r="D129" s="3113"/>
      <c r="E129" s="1474"/>
      <c r="F129" s="1574"/>
      <c r="G129" s="2037"/>
      <c r="H129" s="1541">
        <f t="shared" si="28"/>
        <v>0</v>
      </c>
      <c r="I129" s="1426">
        <f t="shared" si="31"/>
        <v>0</v>
      </c>
      <c r="J129" s="1390">
        <f t="shared" si="29"/>
        <v>0</v>
      </c>
      <c r="L129" s="1216"/>
      <c r="M129" s="1216">
        <f t="shared" si="30"/>
        <v>0</v>
      </c>
      <c r="N129" s="1216"/>
      <c r="O129" s="1216"/>
      <c r="P129" s="1216"/>
      <c r="Q129" s="1216"/>
      <c r="R129" s="1216"/>
    </row>
    <row r="130" spans="2:18" s="1217" customFormat="1" x14ac:dyDescent="0.2">
      <c r="B130" s="1542"/>
      <c r="C130" s="1328"/>
      <c r="D130" s="1328"/>
      <c r="E130" s="1543"/>
      <c r="F130" s="1544"/>
      <c r="G130" s="1545">
        <f>SUM(M120:M129)</f>
        <v>0</v>
      </c>
      <c r="H130" s="1329" t="s">
        <v>456</v>
      </c>
      <c r="I130" s="1282">
        <f>SUM(I120:I129)</f>
        <v>8</v>
      </c>
      <c r="J130" s="1283">
        <f>SUM(J120:J129)</f>
        <v>0.53333333333333333</v>
      </c>
      <c r="L130" s="1216"/>
      <c r="M130" s="1216"/>
      <c r="N130" s="1216"/>
      <c r="O130" s="1216"/>
      <c r="P130" s="1216"/>
      <c r="Q130" s="1216"/>
      <c r="R130" s="1216"/>
    </row>
    <row r="131" spans="2:18" s="1304" customFormat="1" ht="5.25" customHeight="1" x14ac:dyDescent="0.2">
      <c r="B131" s="1575"/>
      <c r="C131" s="1553"/>
      <c r="D131" s="1553"/>
      <c r="E131" s="1553"/>
      <c r="F131" s="1554"/>
      <c r="G131" s="1554"/>
      <c r="H131" s="1556"/>
      <c r="I131" s="1557"/>
      <c r="J131" s="1576"/>
      <c r="L131" s="1302"/>
      <c r="M131" s="1216"/>
      <c r="N131" s="1302"/>
      <c r="O131" s="1302"/>
      <c r="P131" s="1302"/>
      <c r="Q131" s="1302"/>
      <c r="R131" s="1302"/>
    </row>
    <row r="132" spans="2:18" s="1187" customFormat="1" ht="20.25" customHeight="1" x14ac:dyDescent="0.2">
      <c r="B132" s="1436" t="s">
        <v>943</v>
      </c>
      <c r="C132" s="1572"/>
      <c r="D132" s="1572"/>
      <c r="E132" s="1449"/>
      <c r="F132" s="1450"/>
      <c r="G132" s="1450"/>
      <c r="H132" s="1450"/>
      <c r="I132" s="1450"/>
      <c r="J132" s="1452"/>
      <c r="L132" s="1185"/>
      <c r="M132" s="1216"/>
      <c r="N132" s="1185"/>
      <c r="O132" s="1185"/>
      <c r="P132" s="1185"/>
      <c r="Q132" s="1185"/>
      <c r="R132" s="1185"/>
    </row>
    <row r="133" spans="2:18" s="1198" customFormat="1" x14ac:dyDescent="0.2">
      <c r="B133" s="1271"/>
      <c r="C133" s="3052" t="s">
        <v>874</v>
      </c>
      <c r="D133" s="3053"/>
      <c r="E133" s="3054"/>
      <c r="F133" s="1577" t="s">
        <v>944</v>
      </c>
      <c r="G133" s="1272" t="s">
        <v>928</v>
      </c>
      <c r="H133" s="1536" t="s">
        <v>638</v>
      </c>
      <c r="I133" s="1537" t="s">
        <v>639</v>
      </c>
      <c r="J133" s="1538" t="s">
        <v>639</v>
      </c>
      <c r="L133" s="1196"/>
      <c r="M133" s="1216"/>
      <c r="N133" s="1196"/>
      <c r="O133" s="1196"/>
      <c r="P133" s="1196"/>
      <c r="Q133" s="1196"/>
      <c r="R133" s="1196"/>
    </row>
    <row r="134" spans="2:18" s="1209" customFormat="1" x14ac:dyDescent="0.2">
      <c r="B134" s="1311"/>
      <c r="C134" s="1578"/>
      <c r="D134" s="1566"/>
      <c r="E134" s="1579"/>
      <c r="F134" s="1580" t="s">
        <v>945</v>
      </c>
      <c r="G134" s="1568" t="s">
        <v>1245</v>
      </c>
      <c r="H134" s="1569" t="s">
        <v>644</v>
      </c>
      <c r="I134" s="1569" t="s">
        <v>641</v>
      </c>
      <c r="J134" s="1570" t="s">
        <v>510</v>
      </c>
      <c r="L134" s="1207"/>
      <c r="M134" s="1216"/>
      <c r="N134" s="1207"/>
      <c r="O134" s="1207"/>
      <c r="P134" s="1207"/>
      <c r="Q134" s="1207"/>
      <c r="R134" s="1207"/>
    </row>
    <row r="135" spans="2:18" s="1209" customFormat="1" x14ac:dyDescent="0.2">
      <c r="B135" s="1199"/>
      <c r="C135" s="1200"/>
      <c r="D135" s="1539"/>
      <c r="E135" s="1581"/>
      <c r="F135" s="1368" t="s">
        <v>827</v>
      </c>
      <c r="G135" s="1368"/>
      <c r="H135" s="1320"/>
      <c r="I135" s="1320"/>
      <c r="J135" s="1321"/>
      <c r="L135" s="1207"/>
      <c r="M135" s="1216"/>
      <c r="N135" s="1207"/>
      <c r="O135" s="1207"/>
      <c r="P135" s="1207"/>
      <c r="Q135" s="1207"/>
      <c r="R135" s="1207"/>
    </row>
    <row r="136" spans="2:18" s="1217" customFormat="1" x14ac:dyDescent="0.2">
      <c r="B136" s="1424" t="s">
        <v>743</v>
      </c>
      <c r="C136" s="3040"/>
      <c r="D136" s="3058"/>
      <c r="E136" s="3041"/>
      <c r="F136" s="1474"/>
      <c r="G136" s="2038"/>
      <c r="H136" s="1541">
        <f t="shared" ref="H136:H155" si="32">IF(F136="",0,IF(F136="ระดับชาติ",4,IF(F136="ระดับนานาชาติ",5,0)))</f>
        <v>0</v>
      </c>
      <c r="I136" s="1426">
        <f t="shared" ref="I136:I155" si="33">IF(C136&lt;&gt;"",H136,0)</f>
        <v>0</v>
      </c>
      <c r="J136" s="1390">
        <f t="shared" ref="J136:J155" si="34">I136/15</f>
        <v>0</v>
      </c>
      <c r="L136" s="1216"/>
      <c r="M136" s="1216">
        <f t="shared" ref="M136:M155" si="35">IF(G136&lt;&gt;"",IF(AND(G136&gt;=$M$12,G136&lt;=$N$12),1,0),0)</f>
        <v>0</v>
      </c>
      <c r="N136" s="1216"/>
      <c r="O136" s="1216"/>
      <c r="P136" s="1216"/>
      <c r="Q136" s="1216"/>
      <c r="R136" s="1216"/>
    </row>
    <row r="137" spans="2:18" s="1217" customFormat="1" x14ac:dyDescent="0.2">
      <c r="B137" s="1424" t="s">
        <v>744</v>
      </c>
      <c r="C137" s="3040"/>
      <c r="D137" s="3058"/>
      <c r="E137" s="3041"/>
      <c r="F137" s="1474"/>
      <c r="G137" s="2038"/>
      <c r="H137" s="1541">
        <f t="shared" si="32"/>
        <v>0</v>
      </c>
      <c r="I137" s="1426">
        <f t="shared" si="33"/>
        <v>0</v>
      </c>
      <c r="J137" s="1390">
        <f t="shared" si="34"/>
        <v>0</v>
      </c>
      <c r="L137" s="1216"/>
      <c r="M137" s="1216">
        <f t="shared" si="35"/>
        <v>0</v>
      </c>
      <c r="N137" s="1216"/>
      <c r="O137" s="1216"/>
      <c r="P137" s="1216"/>
      <c r="Q137" s="1216"/>
      <c r="R137" s="1216"/>
    </row>
    <row r="138" spans="2:18" s="1217" customFormat="1" x14ac:dyDescent="0.2">
      <c r="B138" s="1424" t="s">
        <v>745</v>
      </c>
      <c r="C138" s="3040"/>
      <c r="D138" s="3058"/>
      <c r="E138" s="3041"/>
      <c r="F138" s="1474"/>
      <c r="G138" s="2038"/>
      <c r="H138" s="1541">
        <f t="shared" si="32"/>
        <v>0</v>
      </c>
      <c r="I138" s="1426">
        <f t="shared" si="33"/>
        <v>0</v>
      </c>
      <c r="J138" s="1390">
        <f t="shared" si="34"/>
        <v>0</v>
      </c>
      <c r="L138" s="1216"/>
      <c r="M138" s="1216">
        <f t="shared" si="35"/>
        <v>0</v>
      </c>
      <c r="N138" s="1216"/>
      <c r="O138" s="1216"/>
      <c r="P138" s="1216"/>
      <c r="Q138" s="1216"/>
      <c r="R138" s="1216"/>
    </row>
    <row r="139" spans="2:18" s="1217" customFormat="1" x14ac:dyDescent="0.2">
      <c r="B139" s="1424" t="s">
        <v>746</v>
      </c>
      <c r="C139" s="3040"/>
      <c r="D139" s="3058"/>
      <c r="E139" s="3041"/>
      <c r="F139" s="1474"/>
      <c r="G139" s="2038"/>
      <c r="H139" s="1541">
        <f t="shared" si="32"/>
        <v>0</v>
      </c>
      <c r="I139" s="1426">
        <f t="shared" si="33"/>
        <v>0</v>
      </c>
      <c r="J139" s="1390">
        <f t="shared" si="34"/>
        <v>0</v>
      </c>
      <c r="L139" s="1216"/>
      <c r="M139" s="1216">
        <f t="shared" si="35"/>
        <v>0</v>
      </c>
      <c r="N139" s="1216"/>
      <c r="O139" s="1216"/>
      <c r="P139" s="1216"/>
      <c r="Q139" s="1216"/>
      <c r="R139" s="1216"/>
    </row>
    <row r="140" spans="2:18" s="1217" customFormat="1" x14ac:dyDescent="0.2">
      <c r="B140" s="1424" t="s">
        <v>747</v>
      </c>
      <c r="C140" s="3040"/>
      <c r="D140" s="3058"/>
      <c r="E140" s="3041"/>
      <c r="F140" s="1474"/>
      <c r="G140" s="2038"/>
      <c r="H140" s="1541">
        <f t="shared" si="32"/>
        <v>0</v>
      </c>
      <c r="I140" s="1426">
        <f t="shared" si="33"/>
        <v>0</v>
      </c>
      <c r="J140" s="1390">
        <f t="shared" si="34"/>
        <v>0</v>
      </c>
      <c r="L140" s="1216"/>
      <c r="M140" s="1216">
        <f t="shared" si="35"/>
        <v>0</v>
      </c>
      <c r="N140" s="1216"/>
      <c r="O140" s="1216"/>
      <c r="P140" s="1216"/>
      <c r="Q140" s="1216"/>
      <c r="R140" s="1216"/>
    </row>
    <row r="141" spans="2:18" s="1217" customFormat="1" x14ac:dyDescent="0.2">
      <c r="B141" s="1424" t="s">
        <v>748</v>
      </c>
      <c r="C141" s="3040"/>
      <c r="D141" s="3058"/>
      <c r="E141" s="3041"/>
      <c r="F141" s="1474"/>
      <c r="G141" s="2038"/>
      <c r="H141" s="1541">
        <f t="shared" si="32"/>
        <v>0</v>
      </c>
      <c r="I141" s="1426">
        <f t="shared" si="33"/>
        <v>0</v>
      </c>
      <c r="J141" s="1390">
        <f t="shared" si="34"/>
        <v>0</v>
      </c>
      <c r="L141" s="1216"/>
      <c r="M141" s="1216">
        <f t="shared" si="35"/>
        <v>0</v>
      </c>
      <c r="N141" s="1216"/>
      <c r="O141" s="1216"/>
      <c r="P141" s="1216"/>
      <c r="Q141" s="1216"/>
      <c r="R141" s="1216"/>
    </row>
    <row r="142" spans="2:18" s="1217" customFormat="1" x14ac:dyDescent="0.2">
      <c r="B142" s="1424" t="s">
        <v>749</v>
      </c>
      <c r="C142" s="3040"/>
      <c r="D142" s="3058"/>
      <c r="E142" s="3041"/>
      <c r="F142" s="1474"/>
      <c r="G142" s="2038"/>
      <c r="H142" s="1541">
        <f t="shared" si="32"/>
        <v>0</v>
      </c>
      <c r="I142" s="1426">
        <f t="shared" si="33"/>
        <v>0</v>
      </c>
      <c r="J142" s="1390">
        <f t="shared" si="34"/>
        <v>0</v>
      </c>
      <c r="L142" s="1216"/>
      <c r="M142" s="1216">
        <f t="shared" si="35"/>
        <v>0</v>
      </c>
      <c r="N142" s="1216"/>
      <c r="O142" s="1216"/>
      <c r="P142" s="1216"/>
      <c r="Q142" s="1216"/>
      <c r="R142" s="1216"/>
    </row>
    <row r="143" spans="2:18" s="1217" customFormat="1" x14ac:dyDescent="0.2">
      <c r="B143" s="1424" t="s">
        <v>750</v>
      </c>
      <c r="C143" s="3040"/>
      <c r="D143" s="3058"/>
      <c r="E143" s="3041"/>
      <c r="F143" s="1474"/>
      <c r="G143" s="2038"/>
      <c r="H143" s="1541">
        <f t="shared" si="32"/>
        <v>0</v>
      </c>
      <c r="I143" s="1426">
        <f t="shared" si="33"/>
        <v>0</v>
      </c>
      <c r="J143" s="1390">
        <f t="shared" si="34"/>
        <v>0</v>
      </c>
      <c r="L143" s="1216"/>
      <c r="M143" s="1216">
        <f t="shared" si="35"/>
        <v>0</v>
      </c>
      <c r="N143" s="1216"/>
      <c r="O143" s="1216"/>
      <c r="P143" s="1216"/>
      <c r="Q143" s="1216"/>
      <c r="R143" s="1216"/>
    </row>
    <row r="144" spans="2:18" s="1217" customFormat="1" x14ac:dyDescent="0.2">
      <c r="B144" s="1424" t="s">
        <v>925</v>
      </c>
      <c r="C144" s="3040"/>
      <c r="D144" s="3058"/>
      <c r="E144" s="3041"/>
      <c r="F144" s="1474"/>
      <c r="G144" s="2038"/>
      <c r="H144" s="1541">
        <f t="shared" si="32"/>
        <v>0</v>
      </c>
      <c r="I144" s="1426">
        <f t="shared" si="33"/>
        <v>0</v>
      </c>
      <c r="J144" s="1390">
        <f t="shared" si="34"/>
        <v>0</v>
      </c>
      <c r="L144" s="1216"/>
      <c r="M144" s="1216">
        <f t="shared" si="35"/>
        <v>0</v>
      </c>
      <c r="N144" s="1216"/>
      <c r="O144" s="1216"/>
      <c r="P144" s="1216"/>
      <c r="Q144" s="1216"/>
      <c r="R144" s="1216"/>
    </row>
    <row r="145" spans="2:18" s="1217" customFormat="1" x14ac:dyDescent="0.2">
      <c r="B145" s="1424" t="s">
        <v>926</v>
      </c>
      <c r="C145" s="3040"/>
      <c r="D145" s="3058"/>
      <c r="E145" s="3041"/>
      <c r="F145" s="1474"/>
      <c r="G145" s="2038"/>
      <c r="H145" s="1541">
        <f t="shared" si="32"/>
        <v>0</v>
      </c>
      <c r="I145" s="1426">
        <f t="shared" si="33"/>
        <v>0</v>
      </c>
      <c r="J145" s="1390">
        <f t="shared" si="34"/>
        <v>0</v>
      </c>
      <c r="L145" s="1216"/>
      <c r="M145" s="1216">
        <f t="shared" si="35"/>
        <v>0</v>
      </c>
      <c r="N145" s="1216"/>
      <c r="O145" s="1216"/>
      <c r="P145" s="1216"/>
      <c r="Q145" s="1216"/>
      <c r="R145" s="1216"/>
    </row>
    <row r="146" spans="2:18" s="1217" customFormat="1" x14ac:dyDescent="0.2">
      <c r="B146" s="1424" t="s">
        <v>946</v>
      </c>
      <c r="C146" s="3040"/>
      <c r="D146" s="3058"/>
      <c r="E146" s="3041"/>
      <c r="F146" s="1474"/>
      <c r="G146" s="2038"/>
      <c r="H146" s="1541">
        <f t="shared" si="32"/>
        <v>0</v>
      </c>
      <c r="I146" s="1426">
        <f t="shared" si="33"/>
        <v>0</v>
      </c>
      <c r="J146" s="1390">
        <f t="shared" si="34"/>
        <v>0</v>
      </c>
      <c r="L146" s="1216"/>
      <c r="M146" s="1216">
        <f t="shared" si="35"/>
        <v>0</v>
      </c>
      <c r="N146" s="1216"/>
      <c r="O146" s="1216"/>
      <c r="P146" s="1216"/>
      <c r="Q146" s="1216"/>
      <c r="R146" s="1216"/>
    </row>
    <row r="147" spans="2:18" s="1217" customFormat="1" x14ac:dyDescent="0.2">
      <c r="B147" s="1424" t="s">
        <v>947</v>
      </c>
      <c r="C147" s="3040"/>
      <c r="D147" s="3058"/>
      <c r="E147" s="3041"/>
      <c r="F147" s="1474"/>
      <c r="G147" s="2038"/>
      <c r="H147" s="1541">
        <f t="shared" si="32"/>
        <v>0</v>
      </c>
      <c r="I147" s="1426">
        <f t="shared" si="33"/>
        <v>0</v>
      </c>
      <c r="J147" s="1390">
        <f t="shared" si="34"/>
        <v>0</v>
      </c>
      <c r="L147" s="1216"/>
      <c r="M147" s="1216">
        <f t="shared" si="35"/>
        <v>0</v>
      </c>
      <c r="N147" s="1216"/>
      <c r="O147" s="1216"/>
      <c r="P147" s="1216"/>
      <c r="Q147" s="1216"/>
      <c r="R147" s="1216"/>
    </row>
    <row r="148" spans="2:18" s="1217" customFormat="1" x14ac:dyDescent="0.2">
      <c r="B148" s="1424" t="s">
        <v>948</v>
      </c>
      <c r="C148" s="3040"/>
      <c r="D148" s="3058"/>
      <c r="E148" s="3041"/>
      <c r="F148" s="1474"/>
      <c r="G148" s="2038"/>
      <c r="H148" s="1541">
        <f t="shared" si="32"/>
        <v>0</v>
      </c>
      <c r="I148" s="1426">
        <f t="shared" si="33"/>
        <v>0</v>
      </c>
      <c r="J148" s="1390">
        <f t="shared" si="34"/>
        <v>0</v>
      </c>
      <c r="L148" s="1216"/>
      <c r="M148" s="1216">
        <f t="shared" si="35"/>
        <v>0</v>
      </c>
      <c r="N148" s="1216"/>
      <c r="O148" s="1216"/>
      <c r="P148" s="1216"/>
      <c r="Q148" s="1216"/>
      <c r="R148" s="1216"/>
    </row>
    <row r="149" spans="2:18" s="1217" customFormat="1" x14ac:dyDescent="0.2">
      <c r="B149" s="1424" t="s">
        <v>949</v>
      </c>
      <c r="C149" s="3040"/>
      <c r="D149" s="3058"/>
      <c r="E149" s="3041"/>
      <c r="F149" s="1474"/>
      <c r="G149" s="2038"/>
      <c r="H149" s="1541">
        <f t="shared" si="32"/>
        <v>0</v>
      </c>
      <c r="I149" s="1426">
        <f t="shared" si="33"/>
        <v>0</v>
      </c>
      <c r="J149" s="1390">
        <f t="shared" si="34"/>
        <v>0</v>
      </c>
      <c r="L149" s="1216"/>
      <c r="M149" s="1216">
        <f t="shared" si="35"/>
        <v>0</v>
      </c>
      <c r="N149" s="1216"/>
      <c r="O149" s="1216"/>
      <c r="P149" s="1216"/>
      <c r="Q149" s="1216"/>
      <c r="R149" s="1216"/>
    </row>
    <row r="150" spans="2:18" s="1217" customFormat="1" x14ac:dyDescent="0.2">
      <c r="B150" s="1424" t="s">
        <v>950</v>
      </c>
      <c r="C150" s="3040"/>
      <c r="D150" s="3058"/>
      <c r="E150" s="3041"/>
      <c r="F150" s="1474"/>
      <c r="G150" s="2038"/>
      <c r="H150" s="1541">
        <f t="shared" si="32"/>
        <v>0</v>
      </c>
      <c r="I150" s="1426">
        <f t="shared" si="33"/>
        <v>0</v>
      </c>
      <c r="J150" s="1390">
        <f t="shared" si="34"/>
        <v>0</v>
      </c>
      <c r="L150" s="1216"/>
      <c r="M150" s="1216">
        <f t="shared" si="35"/>
        <v>0</v>
      </c>
      <c r="N150" s="1216"/>
      <c r="O150" s="1216"/>
      <c r="P150" s="1216"/>
      <c r="Q150" s="1216"/>
      <c r="R150" s="1216"/>
    </row>
    <row r="151" spans="2:18" s="1217" customFormat="1" x14ac:dyDescent="0.2">
      <c r="B151" s="1424" t="s">
        <v>951</v>
      </c>
      <c r="C151" s="3040"/>
      <c r="D151" s="3058"/>
      <c r="E151" s="3041"/>
      <c r="F151" s="1474"/>
      <c r="G151" s="2038"/>
      <c r="H151" s="1541">
        <f t="shared" si="32"/>
        <v>0</v>
      </c>
      <c r="I151" s="1426">
        <f t="shared" si="33"/>
        <v>0</v>
      </c>
      <c r="J151" s="1390">
        <f t="shared" si="34"/>
        <v>0</v>
      </c>
      <c r="L151" s="1216"/>
      <c r="M151" s="1216">
        <f t="shared" si="35"/>
        <v>0</v>
      </c>
      <c r="N151" s="1216"/>
      <c r="O151" s="1216"/>
      <c r="P151" s="1216"/>
      <c r="Q151" s="1216"/>
      <c r="R151" s="1216"/>
    </row>
    <row r="152" spans="2:18" s="1217" customFormat="1" x14ac:dyDescent="0.2">
      <c r="B152" s="1424" t="s">
        <v>952</v>
      </c>
      <c r="C152" s="3040"/>
      <c r="D152" s="3058"/>
      <c r="E152" s="3041"/>
      <c r="F152" s="1474"/>
      <c r="G152" s="2038"/>
      <c r="H152" s="1541">
        <f t="shared" si="32"/>
        <v>0</v>
      </c>
      <c r="I152" s="1426">
        <f t="shared" si="33"/>
        <v>0</v>
      </c>
      <c r="J152" s="1390">
        <f t="shared" si="34"/>
        <v>0</v>
      </c>
      <c r="L152" s="1216"/>
      <c r="M152" s="1216">
        <f t="shared" si="35"/>
        <v>0</v>
      </c>
      <c r="N152" s="1216"/>
      <c r="O152" s="1216"/>
      <c r="P152" s="1216"/>
      <c r="Q152" s="1216"/>
      <c r="R152" s="1216"/>
    </row>
    <row r="153" spans="2:18" s="1217" customFormat="1" x14ac:dyDescent="0.2">
      <c r="B153" s="1424" t="s">
        <v>953</v>
      </c>
      <c r="C153" s="3040"/>
      <c r="D153" s="3058"/>
      <c r="E153" s="3041"/>
      <c r="F153" s="1474"/>
      <c r="G153" s="2038"/>
      <c r="H153" s="1541">
        <f t="shared" si="32"/>
        <v>0</v>
      </c>
      <c r="I153" s="1426">
        <f t="shared" si="33"/>
        <v>0</v>
      </c>
      <c r="J153" s="1390">
        <f t="shared" si="34"/>
        <v>0</v>
      </c>
      <c r="L153" s="1216"/>
      <c r="M153" s="1216">
        <f t="shared" si="35"/>
        <v>0</v>
      </c>
      <c r="N153" s="1216"/>
      <c r="O153" s="1216"/>
      <c r="P153" s="1216"/>
      <c r="Q153" s="1216"/>
      <c r="R153" s="1216"/>
    </row>
    <row r="154" spans="2:18" s="1217" customFormat="1" x14ac:dyDescent="0.2">
      <c r="B154" s="1424" t="s">
        <v>954</v>
      </c>
      <c r="C154" s="3040"/>
      <c r="D154" s="3058"/>
      <c r="E154" s="3041"/>
      <c r="F154" s="1474"/>
      <c r="G154" s="2038"/>
      <c r="H154" s="1541">
        <f t="shared" si="32"/>
        <v>0</v>
      </c>
      <c r="I154" s="1426">
        <f t="shared" si="33"/>
        <v>0</v>
      </c>
      <c r="J154" s="1390">
        <f t="shared" si="34"/>
        <v>0</v>
      </c>
      <c r="L154" s="1216"/>
      <c r="M154" s="1216">
        <f t="shared" si="35"/>
        <v>0</v>
      </c>
      <c r="N154" s="1216"/>
      <c r="O154" s="1216"/>
      <c r="P154" s="1216"/>
      <c r="Q154" s="1216"/>
      <c r="R154" s="1216"/>
    </row>
    <row r="155" spans="2:18" s="1217" customFormat="1" x14ac:dyDescent="0.2">
      <c r="B155" s="1424" t="s">
        <v>955</v>
      </c>
      <c r="C155" s="3040"/>
      <c r="D155" s="3058"/>
      <c r="E155" s="3041"/>
      <c r="F155" s="1474"/>
      <c r="G155" s="2038"/>
      <c r="H155" s="1541">
        <f t="shared" si="32"/>
        <v>0</v>
      </c>
      <c r="I155" s="1426">
        <f t="shared" si="33"/>
        <v>0</v>
      </c>
      <c r="J155" s="1390">
        <f t="shared" si="34"/>
        <v>0</v>
      </c>
      <c r="L155" s="1216"/>
      <c r="M155" s="1216">
        <f t="shared" si="35"/>
        <v>0</v>
      </c>
      <c r="N155" s="1216"/>
      <c r="O155" s="1216"/>
      <c r="P155" s="1216"/>
      <c r="Q155" s="1216"/>
      <c r="R155" s="1216"/>
    </row>
    <row r="156" spans="2:18" s="1217" customFormat="1" x14ac:dyDescent="0.2">
      <c r="B156" s="1542"/>
      <c r="C156" s="1328"/>
      <c r="D156" s="1328"/>
      <c r="E156" s="1543"/>
      <c r="F156" s="1544"/>
      <c r="G156" s="1545">
        <f>SUM(M136:M155)</f>
        <v>0</v>
      </c>
      <c r="H156" s="1329" t="s">
        <v>456</v>
      </c>
      <c r="I156" s="1282">
        <f>SUM(I136:I155)</f>
        <v>0</v>
      </c>
      <c r="J156" s="1283">
        <f>SUM(J136:J155)</f>
        <v>0</v>
      </c>
      <c r="L156" s="1216"/>
      <c r="M156" s="1216"/>
      <c r="N156" s="1216"/>
      <c r="O156" s="1216"/>
      <c r="P156" s="1216"/>
      <c r="Q156" s="1216"/>
      <c r="R156" s="1216"/>
    </row>
    <row r="157" spans="2:18" s="1217" customFormat="1" ht="21" customHeight="1" x14ac:dyDescent="0.2">
      <c r="B157" s="1582"/>
      <c r="C157" s="1583"/>
      <c r="D157" s="1583"/>
      <c r="E157" s="1583"/>
      <c r="F157" s="1583"/>
      <c r="G157" s="1394"/>
      <c r="H157" s="1290" t="s">
        <v>956</v>
      </c>
      <c r="I157" s="1584">
        <f>I130+I156</f>
        <v>8</v>
      </c>
      <c r="J157" s="1585">
        <f>J130+J156</f>
        <v>0.53333333333333333</v>
      </c>
      <c r="L157" s="1216"/>
      <c r="M157" s="1216"/>
      <c r="N157" s="1216"/>
      <c r="O157" s="1216"/>
      <c r="P157" s="1216"/>
      <c r="Q157" s="1216"/>
      <c r="R157" s="1216"/>
    </row>
    <row r="158" spans="2:18" s="1304" customFormat="1" ht="15" x14ac:dyDescent="0.2">
      <c r="B158" s="1298"/>
      <c r="C158" s="1299"/>
      <c r="D158" s="1299"/>
      <c r="E158" s="1299"/>
      <c r="F158" s="1298"/>
      <c r="G158" s="1298"/>
      <c r="H158" s="1299"/>
      <c r="I158" s="1433"/>
      <c r="J158" s="1433"/>
      <c r="L158" s="1302"/>
      <c r="M158" s="1216"/>
      <c r="N158" s="1302"/>
      <c r="O158" s="1302"/>
      <c r="P158" s="1302"/>
      <c r="Q158" s="1302"/>
      <c r="R158" s="1302"/>
    </row>
    <row r="159" spans="2:18" s="1304" customFormat="1" ht="15" x14ac:dyDescent="0.2">
      <c r="B159" s="1434"/>
      <c r="C159" s="1560"/>
      <c r="D159" s="1560"/>
      <c r="E159" s="1560"/>
      <c r="F159" s="1434"/>
      <c r="G159" s="1434"/>
      <c r="H159" s="1560"/>
      <c r="I159" s="1448"/>
      <c r="J159" s="1448"/>
      <c r="L159" s="1302"/>
      <c r="M159" s="1216"/>
      <c r="N159" s="1302"/>
      <c r="O159" s="1302"/>
      <c r="P159" s="1302"/>
      <c r="Q159" s="1302"/>
      <c r="R159" s="1302"/>
    </row>
    <row r="160" spans="2:18" s="1144" customFormat="1" ht="21" customHeight="1" x14ac:dyDescent="0.25">
      <c r="B160" s="1172" t="s">
        <v>957</v>
      </c>
      <c r="C160" s="1534"/>
      <c r="D160" s="1534"/>
      <c r="E160" s="1174"/>
      <c r="F160" s="1176"/>
      <c r="G160" s="1176"/>
      <c r="H160" s="1176"/>
      <c r="I160" s="1176"/>
      <c r="J160" s="1535"/>
      <c r="L160" s="1147"/>
      <c r="M160" s="1216"/>
      <c r="N160" s="1147"/>
      <c r="O160" s="1147"/>
      <c r="P160" s="1147"/>
      <c r="Q160" s="1147"/>
      <c r="R160" s="1147"/>
    </row>
    <row r="161" spans="2:18" s="1198" customFormat="1" x14ac:dyDescent="0.2">
      <c r="B161" s="1271"/>
      <c r="C161" s="3052" t="s">
        <v>958</v>
      </c>
      <c r="D161" s="3053"/>
      <c r="E161" s="3053"/>
      <c r="F161" s="3054"/>
      <c r="G161" s="1272" t="s">
        <v>928</v>
      </c>
      <c r="H161" s="1536" t="s">
        <v>638</v>
      </c>
      <c r="I161" s="1537" t="s">
        <v>639</v>
      </c>
      <c r="J161" s="1538" t="s">
        <v>639</v>
      </c>
      <c r="L161" s="1196"/>
      <c r="M161" s="1216"/>
      <c r="N161" s="1196"/>
      <c r="O161" s="1196"/>
      <c r="P161" s="1196"/>
      <c r="Q161" s="1196"/>
      <c r="R161" s="1196"/>
    </row>
    <row r="162" spans="2:18" s="1209" customFormat="1" x14ac:dyDescent="0.2">
      <c r="B162" s="1311"/>
      <c r="C162" s="3093"/>
      <c r="D162" s="3094"/>
      <c r="E162" s="3094"/>
      <c r="F162" s="1586"/>
      <c r="G162" s="1568" t="s">
        <v>1245</v>
      </c>
      <c r="H162" s="1569" t="s">
        <v>644</v>
      </c>
      <c r="I162" s="1569" t="s">
        <v>641</v>
      </c>
      <c r="J162" s="1570" t="s">
        <v>510</v>
      </c>
      <c r="L162" s="1207"/>
      <c r="M162" s="1216"/>
      <c r="N162" s="1207"/>
      <c r="O162" s="1207"/>
      <c r="P162" s="1207"/>
      <c r="Q162" s="1207"/>
      <c r="R162" s="1207"/>
    </row>
    <row r="163" spans="2:18" s="1217" customFormat="1" x14ac:dyDescent="0.2">
      <c r="B163" s="1424" t="s">
        <v>743</v>
      </c>
      <c r="C163" s="3112"/>
      <c r="D163" s="3114"/>
      <c r="E163" s="3114"/>
      <c r="F163" s="3113"/>
      <c r="G163" s="2039"/>
      <c r="H163" s="1541">
        <v>10</v>
      </c>
      <c r="I163" s="1426">
        <f>IF(C163&lt;&gt;"",H163,0)</f>
        <v>0</v>
      </c>
      <c r="J163" s="1390">
        <f>I163/15</f>
        <v>0</v>
      </c>
      <c r="L163" s="1216"/>
      <c r="M163" s="1216">
        <f>IF(G163&lt;&gt;"",IF(AND(G163&gt;=$M$12,G163&lt;=$N$12),1,0),0)</f>
        <v>0</v>
      </c>
      <c r="N163" s="1216"/>
      <c r="O163" s="1216"/>
      <c r="P163" s="1216"/>
      <c r="Q163" s="1216"/>
      <c r="R163" s="1216"/>
    </row>
    <row r="164" spans="2:18" s="1217" customFormat="1" x14ac:dyDescent="0.2">
      <c r="B164" s="1424" t="s">
        <v>744</v>
      </c>
      <c r="C164" s="3112"/>
      <c r="D164" s="3114"/>
      <c r="E164" s="3114"/>
      <c r="F164" s="3113"/>
      <c r="G164" s="2039"/>
      <c r="H164" s="1541">
        <v>10</v>
      </c>
      <c r="I164" s="1426">
        <f>IF(C164&lt;&gt;"",H164,0)</f>
        <v>0</v>
      </c>
      <c r="J164" s="1390">
        <f>I164/15</f>
        <v>0</v>
      </c>
      <c r="L164" s="1216"/>
      <c r="M164" s="1216">
        <f>IF(G164&lt;&gt;"",IF(AND(G164&gt;=$M$12,G164&lt;=$N$12),1,0),0)</f>
        <v>0</v>
      </c>
      <c r="N164" s="1216"/>
      <c r="O164" s="1216"/>
      <c r="P164" s="1216"/>
      <c r="Q164" s="1216"/>
      <c r="R164" s="1216"/>
    </row>
    <row r="165" spans="2:18" s="1217" customFormat="1" x14ac:dyDescent="0.2">
      <c r="B165" s="1424" t="s">
        <v>745</v>
      </c>
      <c r="C165" s="3112"/>
      <c r="D165" s="3114"/>
      <c r="E165" s="3114"/>
      <c r="F165" s="3113"/>
      <c r="G165" s="2039"/>
      <c r="H165" s="1541">
        <v>10</v>
      </c>
      <c r="I165" s="1426">
        <f>IF(C165&lt;&gt;"",H165,0)</f>
        <v>0</v>
      </c>
      <c r="J165" s="1390">
        <f>I165/15</f>
        <v>0</v>
      </c>
      <c r="L165" s="1216"/>
      <c r="M165" s="1216">
        <f>IF(G165&lt;&gt;"",IF(AND(G165&gt;=$M$12,G165&lt;=$N$12),1,0),0)</f>
        <v>0</v>
      </c>
      <c r="N165" s="1216"/>
      <c r="O165" s="1216"/>
      <c r="P165" s="1216"/>
      <c r="Q165" s="1216"/>
      <c r="R165" s="1216"/>
    </row>
    <row r="166" spans="2:18" s="1217" customFormat="1" x14ac:dyDescent="0.2">
      <c r="B166" s="1424" t="s">
        <v>746</v>
      </c>
      <c r="C166" s="3112"/>
      <c r="D166" s="3114"/>
      <c r="E166" s="3114"/>
      <c r="F166" s="3113"/>
      <c r="G166" s="2039"/>
      <c r="H166" s="1541">
        <v>10</v>
      </c>
      <c r="I166" s="1426">
        <f>IF(C166&lt;&gt;"",H166,0)</f>
        <v>0</v>
      </c>
      <c r="J166" s="1390">
        <f>I166/15</f>
        <v>0</v>
      </c>
      <c r="L166" s="1216"/>
      <c r="M166" s="1216">
        <f>IF(G166&lt;&gt;"",IF(AND(G166&gt;=$M$12,G166&lt;=$N$12),1,0),0)</f>
        <v>0</v>
      </c>
      <c r="N166" s="1216"/>
      <c r="O166" s="1216"/>
      <c r="P166" s="1216"/>
      <c r="Q166" s="1216"/>
      <c r="R166" s="1216"/>
    </row>
    <row r="167" spans="2:18" s="1217" customFormat="1" x14ac:dyDescent="0.2">
      <c r="B167" s="1424" t="s">
        <v>747</v>
      </c>
      <c r="C167" s="3112"/>
      <c r="D167" s="3114"/>
      <c r="E167" s="3114"/>
      <c r="F167" s="3113"/>
      <c r="G167" s="2039"/>
      <c r="H167" s="1541">
        <v>10</v>
      </c>
      <c r="I167" s="1426">
        <f>IF(C167&lt;&gt;"",H167,0)</f>
        <v>0</v>
      </c>
      <c r="J167" s="1390">
        <f>I167/15</f>
        <v>0</v>
      </c>
      <c r="L167" s="1216"/>
      <c r="M167" s="1216">
        <f>IF(G167&lt;&gt;"",IF(AND(G167&gt;=$M$12,G167&lt;=$N$12),1,0),0)</f>
        <v>0</v>
      </c>
      <c r="N167" s="1216"/>
      <c r="O167" s="1216"/>
      <c r="P167" s="1216"/>
      <c r="Q167" s="1216"/>
      <c r="R167" s="1216"/>
    </row>
    <row r="168" spans="2:18" s="1217" customFormat="1" x14ac:dyDescent="0.2">
      <c r="B168" s="1542"/>
      <c r="C168" s="1328"/>
      <c r="D168" s="1328"/>
      <c r="E168" s="1543"/>
      <c r="F168" s="1544"/>
      <c r="G168" s="1545">
        <f>SUM(M163:M167)</f>
        <v>0</v>
      </c>
      <c r="H168" s="1329" t="s">
        <v>456</v>
      </c>
      <c r="I168" s="1282">
        <f>SUM(I163:I167)</f>
        <v>0</v>
      </c>
      <c r="J168" s="1283">
        <f>SUM(J163:J167)</f>
        <v>0</v>
      </c>
      <c r="L168" s="1216"/>
      <c r="M168" s="1216"/>
      <c r="N168" s="1216"/>
      <c r="O168" s="1216"/>
      <c r="P168" s="1216"/>
      <c r="Q168" s="1216"/>
      <c r="R168" s="1216"/>
    </row>
    <row r="169" spans="2:18" s="1304" customFormat="1" ht="12" customHeight="1" x14ac:dyDescent="0.2">
      <c r="B169" s="1298"/>
      <c r="C169" s="1299"/>
      <c r="D169" s="1299"/>
      <c r="E169" s="1299"/>
      <c r="F169" s="1298"/>
      <c r="G169" s="1298"/>
      <c r="H169" s="1299"/>
      <c r="I169" s="1433"/>
      <c r="J169" s="1433"/>
      <c r="L169" s="1302"/>
      <c r="M169" s="1216"/>
      <c r="N169" s="1302"/>
      <c r="O169" s="1302"/>
      <c r="P169" s="1302"/>
      <c r="Q169" s="1302"/>
      <c r="R169" s="1302"/>
    </row>
    <row r="170" spans="2:18" s="1304" customFormat="1" ht="12" customHeight="1" x14ac:dyDescent="0.2">
      <c r="B170" s="1434"/>
      <c r="C170" s="1560"/>
      <c r="D170" s="1560"/>
      <c r="E170" s="1560"/>
      <c r="F170" s="1434"/>
      <c r="G170" s="1434"/>
      <c r="H170" s="1560"/>
      <c r="I170" s="1448"/>
      <c r="J170" s="1448"/>
      <c r="L170" s="1302"/>
      <c r="M170" s="1216"/>
      <c r="N170" s="1302"/>
      <c r="O170" s="1302"/>
      <c r="P170" s="1302"/>
      <c r="Q170" s="1302"/>
      <c r="R170" s="1302"/>
    </row>
    <row r="171" spans="2:18" s="1144" customFormat="1" ht="21" customHeight="1" x14ac:dyDescent="0.25">
      <c r="B171" s="1172" t="s">
        <v>959</v>
      </c>
      <c r="C171" s="1534"/>
      <c r="D171" s="1534"/>
      <c r="E171" s="1174"/>
      <c r="F171" s="1176"/>
      <c r="G171" s="1176"/>
      <c r="H171" s="1176"/>
      <c r="I171" s="1176"/>
      <c r="J171" s="1535"/>
      <c r="L171" s="1147"/>
      <c r="M171" s="1216"/>
      <c r="N171" s="1147"/>
      <c r="O171" s="1147"/>
      <c r="P171" s="1147"/>
      <c r="Q171" s="1147"/>
      <c r="R171" s="1147"/>
    </row>
    <row r="172" spans="2:18" s="1198" customFormat="1" x14ac:dyDescent="0.2">
      <c r="B172" s="1271"/>
      <c r="C172" s="3052" t="s">
        <v>958</v>
      </c>
      <c r="D172" s="3053"/>
      <c r="E172" s="3053"/>
      <c r="F172" s="3054"/>
      <c r="G172" s="1272" t="s">
        <v>928</v>
      </c>
      <c r="H172" s="1536" t="s">
        <v>638</v>
      </c>
      <c r="I172" s="1537" t="s">
        <v>639</v>
      </c>
      <c r="J172" s="1538" t="s">
        <v>639</v>
      </c>
      <c r="L172" s="1196"/>
      <c r="M172" s="1216"/>
      <c r="N172" s="1196"/>
      <c r="O172" s="1196"/>
      <c r="P172" s="1196"/>
      <c r="Q172" s="1196"/>
      <c r="R172" s="1196"/>
    </row>
    <row r="173" spans="2:18" s="1209" customFormat="1" x14ac:dyDescent="0.2">
      <c r="B173" s="1311"/>
      <c r="C173" s="3093"/>
      <c r="D173" s="3094"/>
      <c r="E173" s="3094"/>
      <c r="F173" s="1586"/>
      <c r="G173" s="1568" t="s">
        <v>1245</v>
      </c>
      <c r="H173" s="1569" t="s">
        <v>644</v>
      </c>
      <c r="I173" s="1569" t="s">
        <v>641</v>
      </c>
      <c r="J173" s="1570" t="s">
        <v>510</v>
      </c>
      <c r="L173" s="1207"/>
      <c r="M173" s="1216"/>
      <c r="N173" s="1207"/>
      <c r="O173" s="1207"/>
      <c r="P173" s="1207"/>
      <c r="Q173" s="1207"/>
      <c r="R173" s="1207"/>
    </row>
    <row r="174" spans="2:18" s="1217" customFormat="1" x14ac:dyDescent="0.2">
      <c r="B174" s="1424" t="s">
        <v>743</v>
      </c>
      <c r="C174" s="3112"/>
      <c r="D174" s="3114"/>
      <c r="E174" s="3114"/>
      <c r="F174" s="3113"/>
      <c r="G174" s="2039"/>
      <c r="H174" s="1541">
        <v>2</v>
      </c>
      <c r="I174" s="1426">
        <f>IF(C174&lt;&gt;"",H174,0)</f>
        <v>0</v>
      </c>
      <c r="J174" s="1390">
        <f>I174/15</f>
        <v>0</v>
      </c>
      <c r="L174" s="1216"/>
      <c r="M174" s="1216">
        <f>IF(G174&lt;&gt;"",IF(AND(G174&gt;=$M$12,G174&lt;=$N$12),1,0),0)</f>
        <v>0</v>
      </c>
      <c r="N174" s="1216"/>
      <c r="O174" s="1216"/>
      <c r="P174" s="1216"/>
      <c r="Q174" s="1216"/>
      <c r="R174" s="1216"/>
    </row>
    <row r="175" spans="2:18" s="1217" customFormat="1" x14ac:dyDescent="0.2">
      <c r="B175" s="1424" t="s">
        <v>744</v>
      </c>
      <c r="C175" s="3112"/>
      <c r="D175" s="3114"/>
      <c r="E175" s="3114"/>
      <c r="F175" s="3113"/>
      <c r="G175" s="2039"/>
      <c r="H175" s="1541">
        <v>2</v>
      </c>
      <c r="I175" s="1426">
        <f>IF(C175&lt;&gt;"",H175,0)</f>
        <v>0</v>
      </c>
      <c r="J175" s="1390">
        <f>I175/15</f>
        <v>0</v>
      </c>
      <c r="L175" s="1216"/>
      <c r="M175" s="1216">
        <f>IF(G175&lt;&gt;"",IF(AND(G175&gt;=$M$12,G175&lt;=$N$12),1,0),0)</f>
        <v>0</v>
      </c>
      <c r="N175" s="1216"/>
      <c r="O175" s="1216"/>
      <c r="P175" s="1216"/>
      <c r="Q175" s="1216"/>
      <c r="R175" s="1216"/>
    </row>
    <row r="176" spans="2:18" s="1217" customFormat="1" x14ac:dyDescent="0.2">
      <c r="B176" s="1424" t="s">
        <v>745</v>
      </c>
      <c r="C176" s="3112"/>
      <c r="D176" s="3114"/>
      <c r="E176" s="3114"/>
      <c r="F176" s="3113"/>
      <c r="G176" s="2039"/>
      <c r="H176" s="1541">
        <v>2</v>
      </c>
      <c r="I176" s="1426">
        <f>IF(C176&lt;&gt;"",H176,0)</f>
        <v>0</v>
      </c>
      <c r="J176" s="1390">
        <f>I176/15</f>
        <v>0</v>
      </c>
      <c r="L176" s="1216"/>
      <c r="M176" s="1216">
        <f>IF(G176&lt;&gt;"",IF(AND(G176&gt;=$M$12,G176&lt;=$N$12),1,0),0)</f>
        <v>0</v>
      </c>
      <c r="N176" s="1216"/>
      <c r="O176" s="1216"/>
      <c r="P176" s="1216"/>
      <c r="Q176" s="1216"/>
      <c r="R176" s="1216"/>
    </row>
    <row r="177" spans="2:18" s="1217" customFormat="1" x14ac:dyDescent="0.2">
      <c r="B177" s="1424" t="s">
        <v>746</v>
      </c>
      <c r="C177" s="3112"/>
      <c r="D177" s="3114"/>
      <c r="E177" s="3114"/>
      <c r="F177" s="3113"/>
      <c r="G177" s="2039"/>
      <c r="H177" s="1541">
        <v>2</v>
      </c>
      <c r="I177" s="1426">
        <f>IF(C177&lt;&gt;"",H177,0)</f>
        <v>0</v>
      </c>
      <c r="J177" s="1390">
        <f>I177/15</f>
        <v>0</v>
      </c>
      <c r="L177" s="1216"/>
      <c r="M177" s="1216">
        <f>IF(G177&lt;&gt;"",IF(AND(G177&gt;=$M$12,G177&lt;=$N$12),1,0),0)</f>
        <v>0</v>
      </c>
      <c r="N177" s="1216"/>
      <c r="O177" s="1216"/>
      <c r="P177" s="1216"/>
      <c r="Q177" s="1216"/>
      <c r="R177" s="1216"/>
    </row>
    <row r="178" spans="2:18" s="1217" customFormat="1" x14ac:dyDescent="0.2">
      <c r="B178" s="1424" t="s">
        <v>747</v>
      </c>
      <c r="C178" s="3112"/>
      <c r="D178" s="3114"/>
      <c r="E178" s="3114"/>
      <c r="F178" s="3113"/>
      <c r="G178" s="2039"/>
      <c r="H178" s="1541">
        <v>2</v>
      </c>
      <c r="I178" s="1426">
        <f>IF(C178&lt;&gt;"",H178,0)</f>
        <v>0</v>
      </c>
      <c r="J178" s="1390">
        <f>I178/15</f>
        <v>0</v>
      </c>
      <c r="L178" s="1216"/>
      <c r="M178" s="1216">
        <f>IF(G178&lt;&gt;"",IF(AND(G178&gt;=$M$12,G178&lt;=$N$12),1,0),0)</f>
        <v>0</v>
      </c>
      <c r="N178" s="1216"/>
      <c r="O178" s="1216"/>
      <c r="P178" s="1216"/>
      <c r="Q178" s="1216"/>
      <c r="R178" s="1216"/>
    </row>
    <row r="179" spans="2:18" s="1217" customFormat="1" x14ac:dyDescent="0.2">
      <c r="B179" s="1542"/>
      <c r="C179" s="1328"/>
      <c r="D179" s="1328"/>
      <c r="E179" s="1543"/>
      <c r="F179" s="1544"/>
      <c r="G179" s="1545">
        <f>SUM(M174:M178)</f>
        <v>0</v>
      </c>
      <c r="H179" s="1329" t="s">
        <v>456</v>
      </c>
      <c r="I179" s="1282">
        <f>SUM(I174:I178)</f>
        <v>0</v>
      </c>
      <c r="J179" s="1283">
        <f>SUM(J174:J178)</f>
        <v>0</v>
      </c>
      <c r="L179" s="1216"/>
      <c r="M179" s="1216"/>
      <c r="N179" s="1216"/>
      <c r="O179" s="1216"/>
      <c r="P179" s="1216"/>
      <c r="Q179" s="1216"/>
      <c r="R179" s="1216"/>
    </row>
    <row r="180" spans="2:18" s="1304" customFormat="1" ht="12" customHeight="1" x14ac:dyDescent="0.2">
      <c r="B180" s="1298"/>
      <c r="C180" s="1299"/>
      <c r="D180" s="1299"/>
      <c r="E180" s="1299"/>
      <c r="F180" s="1298"/>
      <c r="G180" s="1298"/>
      <c r="H180" s="1299"/>
      <c r="I180" s="1433"/>
      <c r="J180" s="1433"/>
      <c r="L180" s="1302"/>
      <c r="M180" s="1216"/>
      <c r="N180" s="1302"/>
      <c r="O180" s="1302"/>
      <c r="P180" s="1302"/>
      <c r="Q180" s="1302"/>
      <c r="R180" s="1302"/>
    </row>
    <row r="181" spans="2:18" s="1304" customFormat="1" ht="12" customHeight="1" x14ac:dyDescent="0.2">
      <c r="B181" s="1411"/>
      <c r="C181" s="1561"/>
      <c r="D181" s="1561"/>
      <c r="E181" s="1561"/>
      <c r="F181" s="1411"/>
      <c r="G181" s="1411"/>
      <c r="H181" s="1561"/>
      <c r="I181" s="1447"/>
      <c r="J181" s="1447"/>
      <c r="L181" s="1302"/>
      <c r="M181" s="1216"/>
      <c r="N181" s="1302"/>
      <c r="O181" s="1302"/>
      <c r="P181" s="1302"/>
      <c r="Q181" s="1302"/>
      <c r="R181" s="1302"/>
    </row>
    <row r="182" spans="2:18" s="1144" customFormat="1" ht="21" customHeight="1" x14ac:dyDescent="0.25">
      <c r="B182" s="1172" t="s">
        <v>960</v>
      </c>
      <c r="C182" s="1534"/>
      <c r="D182" s="1534"/>
      <c r="E182" s="1174"/>
      <c r="F182" s="1176"/>
      <c r="G182" s="1176"/>
      <c r="H182" s="1176"/>
      <c r="I182" s="1176"/>
      <c r="J182" s="1535"/>
      <c r="L182" s="1147"/>
      <c r="M182" s="1216"/>
      <c r="N182" s="1147"/>
      <c r="O182" s="1147"/>
      <c r="P182" s="1147"/>
      <c r="Q182" s="1147"/>
      <c r="R182" s="1147"/>
    </row>
    <row r="183" spans="2:18" s="1198" customFormat="1" x14ac:dyDescent="0.2">
      <c r="B183" s="1271"/>
      <c r="C183" s="3052" t="s">
        <v>961</v>
      </c>
      <c r="D183" s="3054"/>
      <c r="E183" s="1272" t="s">
        <v>962</v>
      </c>
      <c r="F183" s="1471" t="s">
        <v>963</v>
      </c>
      <c r="G183" s="1272" t="s">
        <v>928</v>
      </c>
      <c r="H183" s="1536" t="s">
        <v>638</v>
      </c>
      <c r="I183" s="1537" t="s">
        <v>639</v>
      </c>
      <c r="J183" s="1538" t="s">
        <v>639</v>
      </c>
      <c r="L183" s="1196"/>
      <c r="M183" s="1216"/>
      <c r="N183" s="1196"/>
      <c r="O183" s="1196"/>
      <c r="P183" s="1196"/>
      <c r="Q183" s="1196"/>
      <c r="R183" s="1196"/>
    </row>
    <row r="184" spans="2:18" s="1209" customFormat="1" x14ac:dyDescent="0.2">
      <c r="B184" s="1311"/>
      <c r="C184" s="3093"/>
      <c r="D184" s="3116"/>
      <c r="E184" s="1194" t="s">
        <v>964</v>
      </c>
      <c r="F184" s="1194" t="s">
        <v>965</v>
      </c>
      <c r="G184" s="1568" t="s">
        <v>1245</v>
      </c>
      <c r="H184" s="1569" t="s">
        <v>644</v>
      </c>
      <c r="I184" s="1569" t="s">
        <v>641</v>
      </c>
      <c r="J184" s="1570" t="s">
        <v>510</v>
      </c>
      <c r="L184" s="1207"/>
      <c r="M184" s="1216"/>
      <c r="N184" s="1207"/>
      <c r="O184" s="1207"/>
      <c r="P184" s="1207"/>
      <c r="Q184" s="1207"/>
      <c r="R184" s="1207"/>
    </row>
    <row r="185" spans="2:18" s="1209" customFormat="1" x14ac:dyDescent="0.2">
      <c r="B185" s="1199"/>
      <c r="C185" s="3091"/>
      <c r="D185" s="3092"/>
      <c r="E185" s="1368" t="s">
        <v>827</v>
      </c>
      <c r="F185" s="1201"/>
      <c r="G185" s="1201"/>
      <c r="H185" s="1320"/>
      <c r="I185" s="1320"/>
      <c r="J185" s="1321"/>
      <c r="L185" s="1207"/>
      <c r="M185" s="1216"/>
      <c r="N185" s="1207"/>
      <c r="O185" s="1207"/>
      <c r="P185" s="1207"/>
      <c r="Q185" s="1207"/>
      <c r="R185" s="1207"/>
    </row>
    <row r="186" spans="2:18" s="1217" customFormat="1" x14ac:dyDescent="0.2">
      <c r="B186" s="1424" t="s">
        <v>743</v>
      </c>
      <c r="C186" s="3040"/>
      <c r="D186" s="3041"/>
      <c r="E186" s="1474"/>
      <c r="F186" s="1558"/>
      <c r="G186" s="2033"/>
      <c r="H186" s="1541">
        <f t="shared" ref="H186:H195" si="36">IF(OR(E186="ครู คศ.3",E186="ผู้ช่วยศาสตราจารย์"),13,IF(E186="รองศาสตราจารย์",18,IF(E186="ศาสตราจารย์",30,0)))</f>
        <v>0</v>
      </c>
      <c r="I186" s="1426">
        <f>F186*H186</f>
        <v>0</v>
      </c>
      <c r="J186" s="1390">
        <f t="shared" ref="J186:J195" si="37">I186/15</f>
        <v>0</v>
      </c>
      <c r="L186" s="1216"/>
      <c r="M186" s="1216">
        <f t="shared" ref="M186:M195" si="38">IF(G186&lt;&gt;"",IF(AND(G186&gt;=$M$12,G186&lt;=$N$12),1,0),0)</f>
        <v>0</v>
      </c>
      <c r="N186" s="1216"/>
      <c r="O186" s="1216"/>
      <c r="P186" s="1216"/>
      <c r="Q186" s="1216"/>
      <c r="R186" s="1216"/>
    </row>
    <row r="187" spans="2:18" s="1217" customFormat="1" x14ac:dyDescent="0.2">
      <c r="B187" s="1424" t="s">
        <v>744</v>
      </c>
      <c r="C187" s="3040"/>
      <c r="D187" s="3041"/>
      <c r="E187" s="1474"/>
      <c r="F187" s="1558"/>
      <c r="G187" s="2033"/>
      <c r="H187" s="1541">
        <f t="shared" si="36"/>
        <v>0</v>
      </c>
      <c r="I187" s="1426">
        <f t="shared" ref="I187:I195" si="39">F187*H187</f>
        <v>0</v>
      </c>
      <c r="J187" s="1390">
        <f t="shared" si="37"/>
        <v>0</v>
      </c>
      <c r="L187" s="1216"/>
      <c r="M187" s="1216">
        <f t="shared" si="38"/>
        <v>0</v>
      </c>
      <c r="N187" s="1216"/>
      <c r="O187" s="1216"/>
      <c r="P187" s="1216"/>
      <c r="Q187" s="1216"/>
      <c r="R187" s="1216"/>
    </row>
    <row r="188" spans="2:18" s="1217" customFormat="1" x14ac:dyDescent="0.2">
      <c r="B188" s="1424" t="s">
        <v>745</v>
      </c>
      <c r="C188" s="3040"/>
      <c r="D188" s="3041"/>
      <c r="E188" s="1474"/>
      <c r="F188" s="1558"/>
      <c r="G188" s="2033"/>
      <c r="H188" s="1541">
        <f t="shared" si="36"/>
        <v>0</v>
      </c>
      <c r="I188" s="1426">
        <f t="shared" si="39"/>
        <v>0</v>
      </c>
      <c r="J188" s="1390">
        <f t="shared" si="37"/>
        <v>0</v>
      </c>
      <c r="L188" s="1216"/>
      <c r="M188" s="1216">
        <f t="shared" si="38"/>
        <v>0</v>
      </c>
      <c r="N188" s="1216"/>
      <c r="O188" s="1216"/>
      <c r="P188" s="1216"/>
      <c r="Q188" s="1216"/>
      <c r="R188" s="1216"/>
    </row>
    <row r="189" spans="2:18" s="1217" customFormat="1" x14ac:dyDescent="0.2">
      <c r="B189" s="1424" t="s">
        <v>746</v>
      </c>
      <c r="C189" s="3040"/>
      <c r="D189" s="3041"/>
      <c r="E189" s="1474"/>
      <c r="F189" s="1558"/>
      <c r="G189" s="2033"/>
      <c r="H189" s="1541">
        <f t="shared" si="36"/>
        <v>0</v>
      </c>
      <c r="I189" s="1426">
        <f t="shared" si="39"/>
        <v>0</v>
      </c>
      <c r="J189" s="1390">
        <f t="shared" si="37"/>
        <v>0</v>
      </c>
      <c r="L189" s="1216"/>
      <c r="M189" s="1216">
        <f t="shared" si="38"/>
        <v>0</v>
      </c>
      <c r="N189" s="1216"/>
      <c r="O189" s="1216"/>
      <c r="P189" s="1216"/>
      <c r="Q189" s="1216"/>
      <c r="R189" s="1216"/>
    </row>
    <row r="190" spans="2:18" s="1217" customFormat="1" x14ac:dyDescent="0.2">
      <c r="B190" s="1424" t="s">
        <v>747</v>
      </c>
      <c r="C190" s="3040"/>
      <c r="D190" s="3041"/>
      <c r="E190" s="1474"/>
      <c r="F190" s="1558"/>
      <c r="G190" s="2033"/>
      <c r="H190" s="1541">
        <f t="shared" si="36"/>
        <v>0</v>
      </c>
      <c r="I190" s="1426">
        <f t="shared" si="39"/>
        <v>0</v>
      </c>
      <c r="J190" s="1390">
        <f t="shared" si="37"/>
        <v>0</v>
      </c>
      <c r="L190" s="1216"/>
      <c r="M190" s="1216">
        <f t="shared" si="38"/>
        <v>0</v>
      </c>
      <c r="N190" s="1216"/>
      <c r="O190" s="1216"/>
      <c r="P190" s="1216"/>
      <c r="Q190" s="1216"/>
      <c r="R190" s="1216"/>
    </row>
    <row r="191" spans="2:18" s="1217" customFormat="1" x14ac:dyDescent="0.2">
      <c r="B191" s="1424" t="s">
        <v>748</v>
      </c>
      <c r="C191" s="3040"/>
      <c r="D191" s="3041"/>
      <c r="E191" s="1474"/>
      <c r="F191" s="1558"/>
      <c r="G191" s="2033"/>
      <c r="H191" s="1541">
        <f t="shared" si="36"/>
        <v>0</v>
      </c>
      <c r="I191" s="1426">
        <f t="shared" si="39"/>
        <v>0</v>
      </c>
      <c r="J191" s="1390">
        <f t="shared" si="37"/>
        <v>0</v>
      </c>
      <c r="L191" s="1216"/>
      <c r="M191" s="1216">
        <f t="shared" si="38"/>
        <v>0</v>
      </c>
      <c r="N191" s="1216"/>
      <c r="O191" s="1216"/>
      <c r="P191" s="1216"/>
      <c r="Q191" s="1216"/>
      <c r="R191" s="1216"/>
    </row>
    <row r="192" spans="2:18" s="1217" customFormat="1" x14ac:dyDescent="0.2">
      <c r="B192" s="1424" t="s">
        <v>749</v>
      </c>
      <c r="C192" s="3040"/>
      <c r="D192" s="3041"/>
      <c r="E192" s="1474"/>
      <c r="F192" s="1558"/>
      <c r="G192" s="2033"/>
      <c r="H192" s="1541">
        <f t="shared" si="36"/>
        <v>0</v>
      </c>
      <c r="I192" s="1426">
        <f t="shared" si="39"/>
        <v>0</v>
      </c>
      <c r="J192" s="1390">
        <f t="shared" si="37"/>
        <v>0</v>
      </c>
      <c r="L192" s="1216"/>
      <c r="M192" s="1216">
        <f t="shared" si="38"/>
        <v>0</v>
      </c>
      <c r="N192" s="1216"/>
      <c r="O192" s="1216"/>
      <c r="P192" s="1216"/>
      <c r="Q192" s="1216"/>
      <c r="R192" s="1216"/>
    </row>
    <row r="193" spans="2:18" s="1217" customFormat="1" x14ac:dyDescent="0.2">
      <c r="B193" s="1424" t="s">
        <v>750</v>
      </c>
      <c r="C193" s="3040"/>
      <c r="D193" s="3041"/>
      <c r="E193" s="1474"/>
      <c r="F193" s="1558"/>
      <c r="G193" s="2033"/>
      <c r="H193" s="1541">
        <f t="shared" si="36"/>
        <v>0</v>
      </c>
      <c r="I193" s="1426">
        <f t="shared" si="39"/>
        <v>0</v>
      </c>
      <c r="J193" s="1390">
        <f t="shared" si="37"/>
        <v>0</v>
      </c>
      <c r="L193" s="1216"/>
      <c r="M193" s="1216">
        <f t="shared" si="38"/>
        <v>0</v>
      </c>
      <c r="N193" s="1216"/>
      <c r="O193" s="1216"/>
      <c r="P193" s="1216"/>
      <c r="Q193" s="1216"/>
      <c r="R193" s="1216"/>
    </row>
    <row r="194" spans="2:18" s="1217" customFormat="1" x14ac:dyDescent="0.2">
      <c r="B194" s="1424" t="s">
        <v>925</v>
      </c>
      <c r="C194" s="3040"/>
      <c r="D194" s="3041"/>
      <c r="E194" s="1474"/>
      <c r="F194" s="1558"/>
      <c r="G194" s="2033"/>
      <c r="H194" s="1541">
        <f t="shared" si="36"/>
        <v>0</v>
      </c>
      <c r="I194" s="1426">
        <f t="shared" si="39"/>
        <v>0</v>
      </c>
      <c r="J194" s="1390">
        <f t="shared" si="37"/>
        <v>0</v>
      </c>
      <c r="L194" s="1216"/>
      <c r="M194" s="1216">
        <f t="shared" si="38"/>
        <v>0</v>
      </c>
      <c r="N194" s="1216"/>
      <c r="O194" s="1216"/>
      <c r="P194" s="1216"/>
      <c r="Q194" s="1216"/>
      <c r="R194" s="1216"/>
    </row>
    <row r="195" spans="2:18" s="1217" customFormat="1" x14ac:dyDescent="0.2">
      <c r="B195" s="1424" t="s">
        <v>926</v>
      </c>
      <c r="C195" s="3040"/>
      <c r="D195" s="3041"/>
      <c r="E195" s="1474"/>
      <c r="F195" s="1558"/>
      <c r="G195" s="2033"/>
      <c r="H195" s="1541">
        <f t="shared" si="36"/>
        <v>0</v>
      </c>
      <c r="I195" s="1426">
        <f t="shared" si="39"/>
        <v>0</v>
      </c>
      <c r="J195" s="1390">
        <f t="shared" si="37"/>
        <v>0</v>
      </c>
      <c r="L195" s="1216"/>
      <c r="M195" s="1216">
        <f t="shared" si="38"/>
        <v>0</v>
      </c>
      <c r="N195" s="1216"/>
      <c r="O195" s="1216"/>
      <c r="P195" s="1216"/>
      <c r="Q195" s="1216"/>
      <c r="R195" s="1216"/>
    </row>
    <row r="196" spans="2:18" s="1217" customFormat="1" x14ac:dyDescent="0.2">
      <c r="B196" s="1542"/>
      <c r="C196" s="1328"/>
      <c r="D196" s="1328"/>
      <c r="E196" s="1543"/>
      <c r="F196" s="1544"/>
      <c r="G196" s="1545">
        <f>SUM(M186:M195)</f>
        <v>0</v>
      </c>
      <c r="H196" s="1329" t="s">
        <v>456</v>
      </c>
      <c r="I196" s="1282">
        <f>SUM(I186:I195)</f>
        <v>0</v>
      </c>
      <c r="J196" s="1283">
        <f>SUM(J186:J195)</f>
        <v>0</v>
      </c>
      <c r="L196" s="1216"/>
      <c r="M196" s="1216"/>
      <c r="N196" s="1216"/>
      <c r="O196" s="1216"/>
      <c r="P196" s="1216"/>
      <c r="Q196" s="1216"/>
      <c r="R196" s="1216"/>
    </row>
    <row r="197" spans="2:18" s="1304" customFormat="1" ht="15" x14ac:dyDescent="0.2">
      <c r="B197" s="1298"/>
      <c r="C197" s="1299"/>
      <c r="D197" s="1299"/>
      <c r="E197" s="1299"/>
      <c r="F197" s="1298"/>
      <c r="G197" s="1298"/>
      <c r="H197" s="1299"/>
      <c r="I197" s="1433"/>
      <c r="J197" s="1433"/>
      <c r="L197" s="1302"/>
      <c r="M197" s="1216"/>
      <c r="N197" s="1302"/>
      <c r="O197" s="1302"/>
      <c r="P197" s="1302"/>
      <c r="Q197" s="1302"/>
      <c r="R197" s="1302"/>
    </row>
    <row r="198" spans="2:18" s="1304" customFormat="1" ht="15" x14ac:dyDescent="0.2">
      <c r="B198" s="1434"/>
      <c r="C198" s="1560"/>
      <c r="D198" s="1560"/>
      <c r="E198" s="1560"/>
      <c r="F198" s="1434"/>
      <c r="G198" s="1434"/>
      <c r="H198" s="1560"/>
      <c r="I198" s="1448"/>
      <c r="J198" s="1448"/>
      <c r="L198" s="1302"/>
      <c r="M198" s="1216"/>
      <c r="N198" s="1302"/>
      <c r="O198" s="1302"/>
      <c r="P198" s="1302"/>
      <c r="Q198" s="1302"/>
      <c r="R198" s="1302"/>
    </row>
    <row r="199" spans="2:18" s="1144" customFormat="1" ht="21" customHeight="1" x14ac:dyDescent="0.25">
      <c r="B199" s="1172" t="s">
        <v>966</v>
      </c>
      <c r="C199" s="1534"/>
      <c r="D199" s="1534"/>
      <c r="E199" s="1174"/>
      <c r="F199" s="1176"/>
      <c r="G199" s="1176"/>
      <c r="H199" s="1176"/>
      <c r="I199" s="1176"/>
      <c r="J199" s="1535"/>
      <c r="L199" s="1147"/>
      <c r="M199" s="1216"/>
      <c r="N199" s="1147"/>
      <c r="O199" s="1147"/>
      <c r="P199" s="1147"/>
      <c r="Q199" s="1147"/>
      <c r="R199" s="1147"/>
    </row>
    <row r="200" spans="2:18" s="1198" customFormat="1" x14ac:dyDescent="0.2">
      <c r="B200" s="1271"/>
      <c r="C200" s="3052" t="s">
        <v>819</v>
      </c>
      <c r="D200" s="3053"/>
      <c r="E200" s="3053"/>
      <c r="F200" s="3054"/>
      <c r="G200" s="1272" t="s">
        <v>928</v>
      </c>
      <c r="H200" s="1536" t="s">
        <v>638</v>
      </c>
      <c r="I200" s="1537" t="s">
        <v>639</v>
      </c>
      <c r="J200" s="1538" t="s">
        <v>639</v>
      </c>
      <c r="L200" s="1196"/>
      <c r="M200" s="1216"/>
      <c r="N200" s="1196"/>
      <c r="O200" s="1196"/>
      <c r="P200" s="1196"/>
      <c r="Q200" s="1196"/>
      <c r="R200" s="1196"/>
    </row>
    <row r="201" spans="2:18" s="1209" customFormat="1" x14ac:dyDescent="0.2">
      <c r="B201" s="1311"/>
      <c r="C201" s="1578"/>
      <c r="D201" s="1566"/>
      <c r="E201" s="1587"/>
      <c r="F201" s="1586"/>
      <c r="G201" s="1568" t="s">
        <v>1245</v>
      </c>
      <c r="H201" s="1569" t="s">
        <v>644</v>
      </c>
      <c r="I201" s="1569" t="s">
        <v>641</v>
      </c>
      <c r="J201" s="1570" t="s">
        <v>510</v>
      </c>
      <c r="L201" s="1207"/>
      <c r="M201" s="1216"/>
      <c r="N201" s="1207"/>
      <c r="O201" s="1207"/>
      <c r="P201" s="1207"/>
      <c r="Q201" s="1207"/>
      <c r="R201" s="1207"/>
    </row>
    <row r="202" spans="2:18" s="1217" customFormat="1" x14ac:dyDescent="0.2">
      <c r="B202" s="1424" t="s">
        <v>743</v>
      </c>
      <c r="C202" s="3040"/>
      <c r="D202" s="3058"/>
      <c r="E202" s="3058"/>
      <c r="F202" s="3041"/>
      <c r="G202" s="2031"/>
      <c r="H202" s="1541">
        <v>1</v>
      </c>
      <c r="I202" s="1426">
        <f>IF(C202&lt;&gt;"",H202,0)</f>
        <v>0</v>
      </c>
      <c r="J202" s="1390">
        <f>I202/15</f>
        <v>0</v>
      </c>
      <c r="L202" s="1216"/>
      <c r="M202" s="1216">
        <f>IF(G202&lt;&gt;"",IF(AND(G202&gt;=$M$12,G202&lt;=$N$12),1,0),0)</f>
        <v>0</v>
      </c>
      <c r="N202" s="1216"/>
      <c r="O202" s="1216"/>
      <c r="P202" s="1216"/>
      <c r="Q202" s="1216"/>
      <c r="R202" s="1216"/>
    </row>
    <row r="203" spans="2:18" s="1217" customFormat="1" x14ac:dyDescent="0.2">
      <c r="B203" s="1424" t="s">
        <v>744</v>
      </c>
      <c r="C203" s="3040"/>
      <c r="D203" s="3058"/>
      <c r="E203" s="3058"/>
      <c r="F203" s="3041"/>
      <c r="G203" s="2031"/>
      <c r="H203" s="1541">
        <v>1</v>
      </c>
      <c r="I203" s="1426">
        <f>IF(C203&lt;&gt;"",H203,0)</f>
        <v>0</v>
      </c>
      <c r="J203" s="1390">
        <f>I203/15</f>
        <v>0</v>
      </c>
      <c r="L203" s="1216"/>
      <c r="M203" s="1216">
        <f>IF(G203&lt;&gt;"",IF(AND(G203&gt;=$M$12,G203&lt;=$N$12),1,0),0)</f>
        <v>0</v>
      </c>
      <c r="N203" s="1216"/>
      <c r="O203" s="1216"/>
      <c r="P203" s="1216"/>
      <c r="Q203" s="1216"/>
      <c r="R203" s="1216"/>
    </row>
    <row r="204" spans="2:18" s="1217" customFormat="1" x14ac:dyDescent="0.2">
      <c r="B204" s="1424" t="s">
        <v>745</v>
      </c>
      <c r="C204" s="3040"/>
      <c r="D204" s="3058"/>
      <c r="E204" s="3058"/>
      <c r="F204" s="3041"/>
      <c r="G204" s="2031"/>
      <c r="H204" s="1541">
        <v>1</v>
      </c>
      <c r="I204" s="1426">
        <f>IF(C204&lt;&gt;"",H204,0)</f>
        <v>0</v>
      </c>
      <c r="J204" s="1390">
        <f>I204/15</f>
        <v>0</v>
      </c>
      <c r="L204" s="1216"/>
      <c r="M204" s="1216">
        <f>IF(G204&lt;&gt;"",IF(AND(G204&gt;=$M$12,G204&lt;=$N$12),1,0),0)</f>
        <v>0</v>
      </c>
      <c r="N204" s="1216"/>
      <c r="O204" s="1216"/>
      <c r="P204" s="1216"/>
      <c r="Q204" s="1216"/>
      <c r="R204" s="1216"/>
    </row>
    <row r="205" spans="2:18" s="1217" customFormat="1" x14ac:dyDescent="0.2">
      <c r="B205" s="1424" t="s">
        <v>746</v>
      </c>
      <c r="C205" s="3040"/>
      <c r="D205" s="3058"/>
      <c r="E205" s="3058"/>
      <c r="F205" s="3041"/>
      <c r="G205" s="2031"/>
      <c r="H205" s="1541">
        <v>1</v>
      </c>
      <c r="I205" s="1426">
        <f>IF(C205&lt;&gt;"",H205,0)</f>
        <v>0</v>
      </c>
      <c r="J205" s="1390">
        <f>I205/15</f>
        <v>0</v>
      </c>
      <c r="L205" s="1216"/>
      <c r="M205" s="1216">
        <f>IF(G205&lt;&gt;"",IF(AND(G205&gt;=$M$12,G205&lt;=$N$12),1,0),0)</f>
        <v>0</v>
      </c>
      <c r="N205" s="1216"/>
      <c r="O205" s="1216"/>
      <c r="P205" s="1216"/>
      <c r="Q205" s="1216"/>
      <c r="R205" s="1216"/>
    </row>
    <row r="206" spans="2:18" s="1217" customFormat="1" x14ac:dyDescent="0.2">
      <c r="B206" s="1424" t="s">
        <v>747</v>
      </c>
      <c r="C206" s="3040"/>
      <c r="D206" s="3058"/>
      <c r="E206" s="3058"/>
      <c r="F206" s="3041"/>
      <c r="G206" s="2031"/>
      <c r="H206" s="1541">
        <v>1</v>
      </c>
      <c r="I206" s="1426">
        <f>IF(C206&lt;&gt;"",H206,0)</f>
        <v>0</v>
      </c>
      <c r="J206" s="1390">
        <f>I206/15</f>
        <v>0</v>
      </c>
      <c r="L206" s="1216"/>
      <c r="M206" s="1216">
        <f>IF(G206&lt;&gt;"",IF(AND(G206&gt;=$M$12,G206&lt;=$N$12),1,0),0)</f>
        <v>0</v>
      </c>
      <c r="N206" s="1216"/>
      <c r="O206" s="1216"/>
      <c r="P206" s="1216"/>
      <c r="Q206" s="1216"/>
      <c r="R206" s="1216"/>
    </row>
    <row r="207" spans="2:18" s="1217" customFormat="1" x14ac:dyDescent="0.2">
      <c r="B207" s="1542"/>
      <c r="C207" s="1328"/>
      <c r="D207" s="1328"/>
      <c r="E207" s="1543"/>
      <c r="F207" s="1544"/>
      <c r="G207" s="1545">
        <f>SUM(M202:M206)</f>
        <v>0</v>
      </c>
      <c r="H207" s="1329" t="s">
        <v>456</v>
      </c>
      <c r="I207" s="1282">
        <f>SUM(I202:I206)</f>
        <v>0</v>
      </c>
      <c r="J207" s="1283">
        <f>SUM(J202:J206)</f>
        <v>0</v>
      </c>
      <c r="L207" s="1216"/>
      <c r="M207" s="1216"/>
      <c r="N207" s="1216"/>
      <c r="O207" s="1216"/>
      <c r="P207" s="1216"/>
      <c r="Q207" s="1216"/>
      <c r="R207" s="1216"/>
    </row>
    <row r="208" spans="2:18" s="1304" customFormat="1" ht="15" x14ac:dyDescent="0.2">
      <c r="B208" s="1434"/>
      <c r="C208" s="1560"/>
      <c r="D208" s="1560"/>
      <c r="E208" s="1560"/>
      <c r="F208" s="1434"/>
      <c r="G208" s="1434"/>
      <c r="H208" s="1560"/>
      <c r="I208" s="1448"/>
      <c r="J208" s="1448"/>
      <c r="L208" s="1302"/>
      <c r="M208" s="1216"/>
      <c r="N208" s="1302"/>
      <c r="O208" s="1302"/>
      <c r="P208" s="1302"/>
      <c r="Q208" s="1302"/>
      <c r="R208" s="1302"/>
    </row>
    <row r="209" spans="2:18" s="1304" customFormat="1" ht="15" x14ac:dyDescent="0.2">
      <c r="B209" s="1434"/>
      <c r="C209" s="1560"/>
      <c r="D209" s="1560"/>
      <c r="E209" s="1560"/>
      <c r="F209" s="1434"/>
      <c r="G209" s="1434"/>
      <c r="H209" s="1560"/>
      <c r="I209" s="1448"/>
      <c r="J209" s="1448"/>
      <c r="L209" s="1302"/>
      <c r="M209" s="1216"/>
      <c r="N209" s="1302"/>
      <c r="O209" s="1302"/>
      <c r="P209" s="1302"/>
      <c r="Q209" s="1302"/>
      <c r="R209" s="1302"/>
    </row>
    <row r="210" spans="2:18" s="1144" customFormat="1" ht="21" customHeight="1" x14ac:dyDescent="0.25">
      <c r="B210" s="1172" t="s">
        <v>967</v>
      </c>
      <c r="C210" s="1534"/>
      <c r="D210" s="1534"/>
      <c r="E210" s="1174"/>
      <c r="F210" s="1176"/>
      <c r="G210" s="1176"/>
      <c r="H210" s="1176"/>
      <c r="I210" s="1176"/>
      <c r="J210" s="1535"/>
      <c r="L210" s="1147"/>
      <c r="M210" s="1216"/>
      <c r="N210" s="1147"/>
      <c r="O210" s="1147"/>
      <c r="P210" s="1147"/>
      <c r="Q210" s="1147"/>
      <c r="R210" s="1147"/>
    </row>
    <row r="211" spans="2:18" s="1198" customFormat="1" x14ac:dyDescent="0.2">
      <c r="B211" s="1271"/>
      <c r="C211" s="3052" t="s">
        <v>968</v>
      </c>
      <c r="D211" s="3053"/>
      <c r="E211" s="3054"/>
      <c r="F211" s="1471" t="s">
        <v>759</v>
      </c>
      <c r="G211" s="1272" t="s">
        <v>928</v>
      </c>
      <c r="H211" s="1536" t="s">
        <v>638</v>
      </c>
      <c r="I211" s="1537" t="s">
        <v>639</v>
      </c>
      <c r="J211" s="1538" t="s">
        <v>639</v>
      </c>
      <c r="L211" s="1196"/>
      <c r="M211" s="1216"/>
      <c r="N211" s="1196"/>
      <c r="O211" s="1196"/>
      <c r="P211" s="1196"/>
      <c r="Q211" s="1196"/>
      <c r="R211" s="1196"/>
    </row>
    <row r="212" spans="2:18" s="1209" customFormat="1" x14ac:dyDescent="0.2">
      <c r="B212" s="1199"/>
      <c r="C212" s="3091"/>
      <c r="D212" s="3115"/>
      <c r="E212" s="3092"/>
      <c r="F212" s="1201" t="s">
        <v>969</v>
      </c>
      <c r="G212" s="1568" t="s">
        <v>1245</v>
      </c>
      <c r="H212" s="1569" t="s">
        <v>644</v>
      </c>
      <c r="I212" s="1320" t="s">
        <v>641</v>
      </c>
      <c r="J212" s="1321" t="s">
        <v>510</v>
      </c>
      <c r="L212" s="1207"/>
      <c r="M212" s="1216"/>
      <c r="N212" s="1207"/>
      <c r="O212" s="1207"/>
      <c r="P212" s="1207"/>
      <c r="Q212" s="1207"/>
      <c r="R212" s="1207"/>
    </row>
    <row r="213" spans="2:18" s="1217" customFormat="1" x14ac:dyDescent="0.2">
      <c r="B213" s="1424" t="s">
        <v>743</v>
      </c>
      <c r="C213" s="3040"/>
      <c r="D213" s="3058"/>
      <c r="E213" s="3041"/>
      <c r="F213" s="1558"/>
      <c r="G213" s="2033"/>
      <c r="H213" s="1541">
        <v>1</v>
      </c>
      <c r="I213" s="1426">
        <f>IF(F213&gt;3,3,IF(F213&lt;&gt;0,F213*H213,0))</f>
        <v>0</v>
      </c>
      <c r="J213" s="1390">
        <f>I213/15</f>
        <v>0</v>
      </c>
      <c r="L213" s="1216"/>
      <c r="M213" s="1216">
        <f>IF(G213&lt;&gt;"",IF(AND(G213&gt;=$M$12,G213&lt;=$N$12),1,0),0)</f>
        <v>0</v>
      </c>
      <c r="N213" s="1216"/>
      <c r="O213" s="1216"/>
      <c r="P213" s="1216"/>
      <c r="Q213" s="1216"/>
      <c r="R213" s="1216"/>
    </row>
    <row r="214" spans="2:18" s="1217" customFormat="1" x14ac:dyDescent="0.2">
      <c r="B214" s="1424" t="s">
        <v>744</v>
      </c>
      <c r="C214" s="3040"/>
      <c r="D214" s="3058"/>
      <c r="E214" s="3041"/>
      <c r="F214" s="1558"/>
      <c r="G214" s="2033"/>
      <c r="H214" s="1541">
        <v>1</v>
      </c>
      <c r="I214" s="1426">
        <f>IF(F214&gt;3,3,IF(F214&lt;&gt;0,F214*H214,0))</f>
        <v>0</v>
      </c>
      <c r="J214" s="1390">
        <f>I214/15</f>
        <v>0</v>
      </c>
      <c r="L214" s="1216"/>
      <c r="M214" s="1216">
        <f>IF(G214&lt;&gt;"",IF(AND(G214&gt;=$M$12,G214&lt;=$N$12),1,0),0)</f>
        <v>0</v>
      </c>
      <c r="N214" s="1216"/>
      <c r="O214" s="1216"/>
      <c r="P214" s="1216"/>
      <c r="Q214" s="1216"/>
      <c r="R214" s="1216"/>
    </row>
    <row r="215" spans="2:18" s="1217" customFormat="1" x14ac:dyDescent="0.2">
      <c r="B215" s="1424" t="s">
        <v>745</v>
      </c>
      <c r="C215" s="3040"/>
      <c r="D215" s="3058"/>
      <c r="E215" s="3041"/>
      <c r="F215" s="1558"/>
      <c r="G215" s="2033"/>
      <c r="H215" s="1541">
        <v>1</v>
      </c>
      <c r="I215" s="1426">
        <f>IF(F215&gt;3,3,IF(F215&lt;&gt;0,F215*H215,0))</f>
        <v>0</v>
      </c>
      <c r="J215" s="1390">
        <f>I215/15</f>
        <v>0</v>
      </c>
      <c r="L215" s="1216"/>
      <c r="M215" s="1216">
        <f>IF(G215&lt;&gt;"",IF(AND(G215&gt;=$M$12,G215&lt;=$N$12),1,0),0)</f>
        <v>0</v>
      </c>
      <c r="N215" s="1216"/>
      <c r="O215" s="1216"/>
      <c r="P215" s="1216"/>
      <c r="Q215" s="1216"/>
      <c r="R215" s="1216"/>
    </row>
    <row r="216" spans="2:18" s="1217" customFormat="1" x14ac:dyDescent="0.2">
      <c r="B216" s="1424" t="s">
        <v>746</v>
      </c>
      <c r="C216" s="3040"/>
      <c r="D216" s="3058"/>
      <c r="E216" s="3041"/>
      <c r="F216" s="1558"/>
      <c r="G216" s="2033"/>
      <c r="H216" s="1541">
        <v>1</v>
      </c>
      <c r="I216" s="1426">
        <f>IF(F216&gt;3,3,IF(F216&lt;&gt;0,F216*H216,0))</f>
        <v>0</v>
      </c>
      <c r="J216" s="1390">
        <f>I216/15</f>
        <v>0</v>
      </c>
      <c r="L216" s="1216"/>
      <c r="M216" s="1216">
        <f>IF(G216&lt;&gt;"",IF(AND(G216&gt;=$M$12,G216&lt;=$N$12),1,0),0)</f>
        <v>0</v>
      </c>
      <c r="N216" s="1216"/>
      <c r="O216" s="1216"/>
      <c r="P216" s="1216"/>
      <c r="Q216" s="1216"/>
      <c r="R216" s="1216"/>
    </row>
    <row r="217" spans="2:18" s="1217" customFormat="1" x14ac:dyDescent="0.2">
      <c r="B217" s="1424" t="s">
        <v>747</v>
      </c>
      <c r="C217" s="3040"/>
      <c r="D217" s="3058"/>
      <c r="E217" s="3041"/>
      <c r="F217" s="1558"/>
      <c r="G217" s="2033"/>
      <c r="H217" s="1541">
        <v>1</v>
      </c>
      <c r="I217" s="1426">
        <f>IF(F217&gt;3,3,IF(F217&lt;&gt;0,F217*H217,0))</f>
        <v>0</v>
      </c>
      <c r="J217" s="1390">
        <f>I217/15</f>
        <v>0</v>
      </c>
      <c r="L217" s="1216"/>
      <c r="M217" s="1216">
        <f>IF(G217&lt;&gt;"",IF(AND(G217&gt;=$M$12,G217&lt;=$N$12),1,0),0)</f>
        <v>0</v>
      </c>
      <c r="N217" s="1216"/>
      <c r="O217" s="1216"/>
      <c r="P217" s="1216"/>
      <c r="Q217" s="1216"/>
      <c r="R217" s="1216"/>
    </row>
    <row r="218" spans="2:18" s="1217" customFormat="1" x14ac:dyDescent="0.2">
      <c r="B218" s="1588" t="s">
        <v>970</v>
      </c>
      <c r="C218" s="1328"/>
      <c r="D218" s="1328"/>
      <c r="E218" s="1543"/>
      <c r="F218" s="1544"/>
      <c r="G218" s="1545">
        <f>SUM(M213:M217)</f>
        <v>0</v>
      </c>
      <c r="H218" s="1329" t="s">
        <v>456</v>
      </c>
      <c r="I218" s="1282">
        <f>SUM(I213:I217)</f>
        <v>0</v>
      </c>
      <c r="J218" s="1283">
        <f>SUM(J213:J217)</f>
        <v>0</v>
      </c>
      <c r="L218" s="1216"/>
      <c r="M218" s="1216"/>
      <c r="N218" s="1216"/>
      <c r="O218" s="1216"/>
      <c r="P218" s="1216"/>
      <c r="Q218" s="1216"/>
      <c r="R218" s="1216"/>
    </row>
    <row r="219" spans="2:18" s="1304" customFormat="1" ht="15" x14ac:dyDescent="0.2">
      <c r="B219" s="1589"/>
      <c r="C219" s="1299"/>
      <c r="D219" s="1299"/>
      <c r="E219" s="1590"/>
      <c r="F219" s="1298"/>
      <c r="G219" s="1298"/>
      <c r="H219" s="1299"/>
      <c r="I219" s="1433"/>
      <c r="J219" s="1433"/>
      <c r="L219" s="1302"/>
      <c r="M219" s="1216"/>
      <c r="N219" s="1302"/>
      <c r="O219" s="1302"/>
      <c r="P219" s="1302"/>
      <c r="Q219" s="1302"/>
      <c r="R219" s="1302"/>
    </row>
    <row r="220" spans="2:18" s="1304" customFormat="1" ht="15" x14ac:dyDescent="0.2">
      <c r="B220" s="1411"/>
      <c r="C220" s="1561"/>
      <c r="D220" s="1561"/>
      <c r="E220" s="1561"/>
      <c r="F220" s="1411"/>
      <c r="G220" s="1411"/>
      <c r="H220" s="1561"/>
      <c r="I220" s="1447"/>
      <c r="J220" s="1447"/>
      <c r="L220" s="1302"/>
      <c r="M220" s="1216"/>
      <c r="N220" s="1302"/>
      <c r="O220" s="1302"/>
      <c r="P220" s="1302"/>
      <c r="Q220" s="1302"/>
      <c r="R220" s="1302"/>
    </row>
    <row r="221" spans="2:18" s="1144" customFormat="1" ht="21" customHeight="1" x14ac:dyDescent="0.25">
      <c r="B221" s="1172" t="s">
        <v>971</v>
      </c>
      <c r="C221" s="1534"/>
      <c r="D221" s="1534"/>
      <c r="E221" s="1174"/>
      <c r="F221" s="1176"/>
      <c r="G221" s="1176"/>
      <c r="H221" s="1176"/>
      <c r="I221" s="1176"/>
      <c r="J221" s="1535"/>
      <c r="L221" s="1147"/>
      <c r="M221" s="1216"/>
      <c r="N221" s="1147"/>
      <c r="O221" s="1147"/>
      <c r="P221" s="1147"/>
      <c r="Q221" s="1147"/>
      <c r="R221" s="1147"/>
    </row>
    <row r="222" spans="2:18" s="1198" customFormat="1" x14ac:dyDescent="0.2">
      <c r="B222" s="1271"/>
      <c r="C222" s="3052" t="s">
        <v>874</v>
      </c>
      <c r="D222" s="3053"/>
      <c r="E222" s="3053"/>
      <c r="F222" s="3054"/>
      <c r="G222" s="1272" t="s">
        <v>928</v>
      </c>
      <c r="H222" s="1536" t="s">
        <v>638</v>
      </c>
      <c r="I222" s="1537" t="s">
        <v>639</v>
      </c>
      <c r="J222" s="1538" t="s">
        <v>639</v>
      </c>
      <c r="L222" s="1196"/>
      <c r="M222" s="1216"/>
      <c r="N222" s="1196"/>
      <c r="O222" s="1196"/>
      <c r="P222" s="1196"/>
      <c r="Q222" s="1196"/>
      <c r="R222" s="1196"/>
    </row>
    <row r="223" spans="2:18" s="1209" customFormat="1" x14ac:dyDescent="0.2">
      <c r="B223" s="1311"/>
      <c r="C223" s="3093"/>
      <c r="D223" s="3094"/>
      <c r="E223" s="3094"/>
      <c r="F223" s="1586"/>
      <c r="G223" s="1568" t="s">
        <v>1245</v>
      </c>
      <c r="H223" s="1569" t="s">
        <v>644</v>
      </c>
      <c r="I223" s="1569" t="s">
        <v>641</v>
      </c>
      <c r="J223" s="1570" t="s">
        <v>510</v>
      </c>
      <c r="L223" s="1207"/>
      <c r="M223" s="1216"/>
      <c r="N223" s="1207"/>
      <c r="O223" s="1207"/>
      <c r="P223" s="1207"/>
      <c r="Q223" s="1207"/>
      <c r="R223" s="1207"/>
    </row>
    <row r="224" spans="2:18" s="1217" customFormat="1" x14ac:dyDescent="0.2">
      <c r="B224" s="1424" t="s">
        <v>743</v>
      </c>
      <c r="C224" s="3040"/>
      <c r="D224" s="3058"/>
      <c r="E224" s="3058"/>
      <c r="F224" s="3041"/>
      <c r="G224" s="2031"/>
      <c r="H224" s="1541">
        <v>6</v>
      </c>
      <c r="I224" s="1426">
        <f>IF(C224&lt;&gt;"",H224,0)</f>
        <v>0</v>
      </c>
      <c r="J224" s="1390">
        <f>I224/15</f>
        <v>0</v>
      </c>
      <c r="L224" s="1216"/>
      <c r="M224" s="1216">
        <f>IF(G224&lt;&gt;"",IF(AND(G224&gt;=$M$12,G224&lt;=$N$12),1,0),0)</f>
        <v>0</v>
      </c>
      <c r="N224" s="1216"/>
      <c r="O224" s="1216"/>
      <c r="P224" s="1216"/>
      <c r="Q224" s="1216"/>
      <c r="R224" s="1216"/>
    </row>
    <row r="225" spans="2:18" s="1217" customFormat="1" x14ac:dyDescent="0.2">
      <c r="B225" s="1424" t="s">
        <v>744</v>
      </c>
      <c r="C225" s="3040"/>
      <c r="D225" s="3058"/>
      <c r="E225" s="3058"/>
      <c r="F225" s="3041"/>
      <c r="G225" s="2031"/>
      <c r="H225" s="1541">
        <v>6</v>
      </c>
      <c r="I225" s="1426">
        <f>IF(C225&lt;&gt;"",H225,0)</f>
        <v>0</v>
      </c>
      <c r="J225" s="1390">
        <f>I225/15</f>
        <v>0</v>
      </c>
      <c r="L225" s="1216"/>
      <c r="M225" s="1216">
        <f>IF(G225&lt;&gt;"",IF(AND(G225&gt;=$M$12,G225&lt;=$N$12),1,0),0)</f>
        <v>0</v>
      </c>
      <c r="N225" s="1216"/>
      <c r="O225" s="1216"/>
      <c r="P225" s="1216"/>
      <c r="Q225" s="1216"/>
      <c r="R225" s="1216"/>
    </row>
    <row r="226" spans="2:18" s="1217" customFormat="1" x14ac:dyDescent="0.2">
      <c r="B226" s="1424" t="s">
        <v>745</v>
      </c>
      <c r="C226" s="3040"/>
      <c r="D226" s="3058"/>
      <c r="E226" s="3058"/>
      <c r="F226" s="3041"/>
      <c r="G226" s="2031"/>
      <c r="H226" s="1541">
        <v>6</v>
      </c>
      <c r="I226" s="1426">
        <f>IF(C226&lt;&gt;"",H226,0)</f>
        <v>0</v>
      </c>
      <c r="J226" s="1390">
        <f>I226/15</f>
        <v>0</v>
      </c>
      <c r="L226" s="1216"/>
      <c r="M226" s="1216">
        <f>IF(G226&lt;&gt;"",IF(AND(G226&gt;=$M$12,G226&lt;=$N$12),1,0),0)</f>
        <v>0</v>
      </c>
      <c r="N226" s="1216"/>
      <c r="O226" s="1216"/>
      <c r="P226" s="1216"/>
      <c r="Q226" s="1216"/>
      <c r="R226" s="1216"/>
    </row>
    <row r="227" spans="2:18" s="1217" customFormat="1" x14ac:dyDescent="0.2">
      <c r="B227" s="1424" t="s">
        <v>746</v>
      </c>
      <c r="C227" s="3040"/>
      <c r="D227" s="3058"/>
      <c r="E227" s="3058"/>
      <c r="F227" s="3041"/>
      <c r="G227" s="2031"/>
      <c r="H227" s="1541">
        <v>6</v>
      </c>
      <c r="I227" s="1426">
        <f>IF(C227&lt;&gt;"",H227,0)</f>
        <v>0</v>
      </c>
      <c r="J227" s="1390">
        <f>I227/15</f>
        <v>0</v>
      </c>
      <c r="L227" s="1216"/>
      <c r="M227" s="1216">
        <f>IF(G227&lt;&gt;"",IF(AND(G227&gt;=$M$12,G227&lt;=$N$12),1,0),0)</f>
        <v>0</v>
      </c>
      <c r="N227" s="1216"/>
      <c r="O227" s="1216"/>
      <c r="P227" s="1216"/>
      <c r="Q227" s="1216"/>
      <c r="R227" s="1216"/>
    </row>
    <row r="228" spans="2:18" s="1217" customFormat="1" x14ac:dyDescent="0.2">
      <c r="B228" s="1424" t="s">
        <v>747</v>
      </c>
      <c r="C228" s="3040"/>
      <c r="D228" s="3058"/>
      <c r="E228" s="3058"/>
      <c r="F228" s="3041"/>
      <c r="G228" s="2031"/>
      <c r="H228" s="1541">
        <v>6</v>
      </c>
      <c r="I228" s="1426">
        <f>IF(C228&lt;&gt;"",H228,0)</f>
        <v>0</v>
      </c>
      <c r="J228" s="1390">
        <f>I228/15</f>
        <v>0</v>
      </c>
      <c r="L228" s="1216"/>
      <c r="M228" s="1216">
        <f>IF(G228&lt;&gt;"",IF(AND(G228&gt;=$M$12,G228&lt;=$N$12),1,0),0)</f>
        <v>0</v>
      </c>
      <c r="N228" s="1216"/>
      <c r="O228" s="1216"/>
      <c r="P228" s="1216"/>
      <c r="Q228" s="1216"/>
      <c r="R228" s="1216"/>
    </row>
    <row r="229" spans="2:18" s="1217" customFormat="1" x14ac:dyDescent="0.2">
      <c r="B229" s="1542"/>
      <c r="C229" s="1328"/>
      <c r="D229" s="1328"/>
      <c r="E229" s="1543"/>
      <c r="F229" s="1544"/>
      <c r="G229" s="1545">
        <f>SUM(M224:M228)</f>
        <v>0</v>
      </c>
      <c r="H229" s="1329" t="s">
        <v>456</v>
      </c>
      <c r="I229" s="1282">
        <f>SUM(I224:I228)</f>
        <v>0</v>
      </c>
      <c r="J229" s="1283">
        <f>SUM(J224:J228)</f>
        <v>0</v>
      </c>
      <c r="L229" s="1216"/>
      <c r="M229" s="1216"/>
      <c r="N229" s="1216"/>
      <c r="O229" s="1216"/>
      <c r="P229" s="1216"/>
      <c r="Q229" s="1216"/>
      <c r="R229" s="1216"/>
    </row>
    <row r="230" spans="2:18" s="1304" customFormat="1" ht="15" x14ac:dyDescent="0.2">
      <c r="B230" s="1434"/>
      <c r="C230" s="1560"/>
      <c r="D230" s="1560"/>
      <c r="E230" s="1560"/>
      <c r="F230" s="1434"/>
      <c r="G230" s="1434"/>
      <c r="H230" s="1560"/>
      <c r="I230" s="1448"/>
      <c r="J230" s="1448"/>
      <c r="L230" s="1302"/>
      <c r="M230" s="1216"/>
      <c r="N230" s="1302"/>
      <c r="O230" s="1302"/>
      <c r="P230" s="1302"/>
      <c r="Q230" s="1302"/>
      <c r="R230" s="1302"/>
    </row>
    <row r="231" spans="2:18" s="1304" customFormat="1" ht="15" x14ac:dyDescent="0.2">
      <c r="B231" s="1411"/>
      <c r="C231" s="1561"/>
      <c r="D231" s="1561"/>
      <c r="E231" s="1561"/>
      <c r="F231" s="1411"/>
      <c r="G231" s="1411"/>
      <c r="H231" s="1561"/>
      <c r="I231" s="1447"/>
      <c r="J231" s="1447"/>
      <c r="L231" s="1302"/>
      <c r="M231" s="1216"/>
      <c r="N231" s="1302"/>
      <c r="O231" s="1302"/>
      <c r="P231" s="1302"/>
      <c r="Q231" s="1302"/>
      <c r="R231" s="1302"/>
    </row>
    <row r="232" spans="2:18" s="1144" customFormat="1" ht="21" customHeight="1" x14ac:dyDescent="0.25">
      <c r="B232" s="1172" t="s">
        <v>972</v>
      </c>
      <c r="C232" s="1534"/>
      <c r="D232" s="1534"/>
      <c r="E232" s="1174"/>
      <c r="F232" s="1176"/>
      <c r="G232" s="1176"/>
      <c r="H232" s="1176"/>
      <c r="I232" s="1176"/>
      <c r="J232" s="1535"/>
      <c r="L232" s="1147"/>
      <c r="M232" s="1216"/>
      <c r="N232" s="1147"/>
      <c r="O232" s="1147"/>
      <c r="P232" s="1147"/>
      <c r="Q232" s="1147"/>
      <c r="R232" s="1147"/>
    </row>
    <row r="233" spans="2:18" s="1198" customFormat="1" x14ac:dyDescent="0.2">
      <c r="B233" s="1271"/>
      <c r="C233" s="3052" t="s">
        <v>973</v>
      </c>
      <c r="D233" s="3053"/>
      <c r="E233" s="3054"/>
      <c r="F233" s="1471" t="s">
        <v>739</v>
      </c>
      <c r="G233" s="1272" t="s">
        <v>928</v>
      </c>
      <c r="H233" s="1536" t="s">
        <v>638</v>
      </c>
      <c r="I233" s="1537" t="s">
        <v>639</v>
      </c>
      <c r="J233" s="1538" t="s">
        <v>639</v>
      </c>
      <c r="L233" s="1196"/>
      <c r="M233" s="1216"/>
      <c r="N233" s="1196"/>
      <c r="O233" s="1196"/>
      <c r="P233" s="1196"/>
      <c r="Q233" s="1196"/>
      <c r="R233" s="1196"/>
    </row>
    <row r="234" spans="2:18" s="1209" customFormat="1" x14ac:dyDescent="0.2">
      <c r="B234" s="1199"/>
      <c r="C234" s="3091"/>
      <c r="D234" s="3115"/>
      <c r="E234" s="3092"/>
      <c r="F234" s="1368"/>
      <c r="G234" s="1568" t="s">
        <v>1245</v>
      </c>
      <c r="H234" s="1569" t="s">
        <v>644</v>
      </c>
      <c r="I234" s="1320" t="s">
        <v>641</v>
      </c>
      <c r="J234" s="1321" t="s">
        <v>510</v>
      </c>
      <c r="L234" s="1207"/>
      <c r="M234" s="1216"/>
      <c r="N234" s="1207"/>
      <c r="O234" s="1207"/>
      <c r="P234" s="1207"/>
      <c r="Q234" s="1207"/>
      <c r="R234" s="1207"/>
    </row>
    <row r="235" spans="2:18" s="1217" customFormat="1" x14ac:dyDescent="0.2">
      <c r="B235" s="1424" t="s">
        <v>743</v>
      </c>
      <c r="C235" s="3040"/>
      <c r="D235" s="3058"/>
      <c r="E235" s="3041"/>
      <c r="F235" s="1558"/>
      <c r="G235" s="2033"/>
      <c r="H235" s="1541">
        <v>3</v>
      </c>
      <c r="I235" s="1426">
        <f>F235*H235</f>
        <v>0</v>
      </c>
      <c r="J235" s="1390">
        <f>I235/15</f>
        <v>0</v>
      </c>
      <c r="L235" s="1216"/>
      <c r="M235" s="1216">
        <f>IF(G235&lt;&gt;"",IF(AND(G235&gt;=$M$12,G235&lt;=$N$12),1,0),0)</f>
        <v>0</v>
      </c>
      <c r="N235" s="1216"/>
      <c r="O235" s="1216"/>
      <c r="P235" s="1216"/>
      <c r="Q235" s="1216"/>
      <c r="R235" s="1216"/>
    </row>
    <row r="236" spans="2:18" s="1217" customFormat="1" x14ac:dyDescent="0.2">
      <c r="B236" s="1424" t="s">
        <v>744</v>
      </c>
      <c r="C236" s="3040"/>
      <c r="D236" s="3058"/>
      <c r="E236" s="3041"/>
      <c r="F236" s="1558"/>
      <c r="G236" s="2033"/>
      <c r="H236" s="1541">
        <v>3</v>
      </c>
      <c r="I236" s="1426">
        <f>F236*H236</f>
        <v>0</v>
      </c>
      <c r="J236" s="1390">
        <f>I236/15</f>
        <v>0</v>
      </c>
      <c r="L236" s="1216"/>
      <c r="M236" s="1216">
        <f>IF(G236&lt;&gt;"",IF(AND(G236&gt;=$M$12,G236&lt;=$N$12),1,0),0)</f>
        <v>0</v>
      </c>
      <c r="N236" s="1216"/>
      <c r="O236" s="1216"/>
      <c r="P236" s="1216"/>
      <c r="Q236" s="1216"/>
      <c r="R236" s="1216"/>
    </row>
    <row r="237" spans="2:18" s="1217" customFormat="1" x14ac:dyDescent="0.2">
      <c r="B237" s="1424" t="s">
        <v>745</v>
      </c>
      <c r="C237" s="3040"/>
      <c r="D237" s="3058"/>
      <c r="E237" s="3041"/>
      <c r="F237" s="1558"/>
      <c r="G237" s="2033"/>
      <c r="H237" s="1541">
        <v>3</v>
      </c>
      <c r="I237" s="1426">
        <f>F237*H237</f>
        <v>0</v>
      </c>
      <c r="J237" s="1390">
        <f>I237/15</f>
        <v>0</v>
      </c>
      <c r="L237" s="1216"/>
      <c r="M237" s="1216">
        <f>IF(G237&lt;&gt;"",IF(AND(G237&gt;=$M$12,G237&lt;=$N$12),1,0),0)</f>
        <v>0</v>
      </c>
      <c r="N237" s="1216"/>
      <c r="O237" s="1216"/>
      <c r="P237" s="1216"/>
      <c r="Q237" s="1216"/>
      <c r="R237" s="1216"/>
    </row>
    <row r="238" spans="2:18" s="1217" customFormat="1" x14ac:dyDescent="0.2">
      <c r="B238" s="1424" t="s">
        <v>746</v>
      </c>
      <c r="C238" s="3040"/>
      <c r="D238" s="3058"/>
      <c r="E238" s="3041"/>
      <c r="F238" s="1558"/>
      <c r="G238" s="2033"/>
      <c r="H238" s="1541">
        <v>3</v>
      </c>
      <c r="I238" s="1426">
        <f>F238*H238</f>
        <v>0</v>
      </c>
      <c r="J238" s="1390">
        <f>I238/15</f>
        <v>0</v>
      </c>
      <c r="L238" s="1216"/>
      <c r="M238" s="1216">
        <f>IF(G238&lt;&gt;"",IF(AND(G238&gt;=$M$12,G238&lt;=$N$12),1,0),0)</f>
        <v>0</v>
      </c>
      <c r="N238" s="1216"/>
      <c r="O238" s="1216"/>
      <c r="P238" s="1216"/>
      <c r="Q238" s="1216"/>
      <c r="R238" s="1216"/>
    </row>
    <row r="239" spans="2:18" s="1217" customFormat="1" x14ac:dyDescent="0.2">
      <c r="B239" s="1424" t="s">
        <v>747</v>
      </c>
      <c r="C239" s="3040"/>
      <c r="D239" s="3058"/>
      <c r="E239" s="3041"/>
      <c r="F239" s="1558"/>
      <c r="G239" s="2033"/>
      <c r="H239" s="1541">
        <v>3</v>
      </c>
      <c r="I239" s="1426">
        <f>F239*H239</f>
        <v>0</v>
      </c>
      <c r="J239" s="1390">
        <f>I239/15</f>
        <v>0</v>
      </c>
      <c r="L239" s="1216"/>
      <c r="M239" s="1216">
        <f>IF(G239&lt;&gt;"",IF(AND(G239&gt;=$M$12,G239&lt;=$N$12),1,0),0)</f>
        <v>0</v>
      </c>
      <c r="N239" s="1216"/>
      <c r="O239" s="1216"/>
      <c r="P239" s="1216"/>
      <c r="Q239" s="1216"/>
      <c r="R239" s="1216"/>
    </row>
    <row r="240" spans="2:18" s="1217" customFormat="1" x14ac:dyDescent="0.2">
      <c r="B240" s="1542"/>
      <c r="C240" s="1328"/>
      <c r="D240" s="1328"/>
      <c r="E240" s="1543"/>
      <c r="F240" s="1544"/>
      <c r="G240" s="1545">
        <f>SUM(M235:M239)</f>
        <v>0</v>
      </c>
      <c r="H240" s="1329" t="s">
        <v>456</v>
      </c>
      <c r="I240" s="1282">
        <f>SUM(I235:I239)</f>
        <v>0</v>
      </c>
      <c r="J240" s="1283">
        <f>SUM(J235:J239)</f>
        <v>0</v>
      </c>
      <c r="L240" s="1216"/>
      <c r="M240" s="1216"/>
      <c r="N240" s="1216"/>
      <c r="O240" s="1216"/>
      <c r="P240" s="1216"/>
      <c r="Q240" s="1216"/>
      <c r="R240" s="1216"/>
    </row>
    <row r="241" spans="2:18" s="1304" customFormat="1" ht="15" x14ac:dyDescent="0.2">
      <c r="B241" s="1434"/>
      <c r="C241" s="1560"/>
      <c r="D241" s="1560"/>
      <c r="E241" s="1560"/>
      <c r="F241" s="1434"/>
      <c r="G241" s="1434"/>
      <c r="H241" s="1560"/>
      <c r="I241" s="1448"/>
      <c r="J241" s="1448"/>
      <c r="L241" s="1302"/>
      <c r="M241" s="1216"/>
      <c r="N241" s="1302"/>
      <c r="O241" s="1302"/>
      <c r="P241" s="1302"/>
      <c r="Q241" s="1302"/>
      <c r="R241" s="1302"/>
    </row>
    <row r="242" spans="2:18" s="1304" customFormat="1" ht="15" x14ac:dyDescent="0.2">
      <c r="B242" s="1434"/>
      <c r="C242" s="1560"/>
      <c r="D242" s="1560"/>
      <c r="E242" s="1560"/>
      <c r="F242" s="1434"/>
      <c r="G242" s="1434"/>
      <c r="H242" s="1560"/>
      <c r="I242" s="1448"/>
      <c r="J242" s="1448"/>
      <c r="L242" s="1302"/>
      <c r="M242" s="1216"/>
      <c r="N242" s="1302"/>
      <c r="O242" s="1302"/>
      <c r="P242" s="1302"/>
      <c r="Q242" s="1302"/>
      <c r="R242" s="1302"/>
    </row>
    <row r="243" spans="2:18" s="1144" customFormat="1" ht="21" customHeight="1" x14ac:dyDescent="0.25">
      <c r="B243" s="1172" t="s">
        <v>974</v>
      </c>
      <c r="C243" s="1534"/>
      <c r="D243" s="1534"/>
      <c r="E243" s="1174"/>
      <c r="F243" s="1176"/>
      <c r="G243" s="1176"/>
      <c r="H243" s="1176"/>
      <c r="I243" s="1176"/>
      <c r="J243" s="1535"/>
      <c r="L243" s="1147"/>
      <c r="M243" s="1216"/>
      <c r="N243" s="1147"/>
      <c r="O243" s="1147"/>
      <c r="P243" s="1147"/>
      <c r="Q243" s="1147"/>
      <c r="R243" s="1147"/>
    </row>
    <row r="244" spans="2:18" s="1198" customFormat="1" x14ac:dyDescent="0.2">
      <c r="B244" s="1271"/>
      <c r="C244" s="3052" t="s">
        <v>873</v>
      </c>
      <c r="D244" s="3053"/>
      <c r="E244" s="3054"/>
      <c r="F244" s="1577" t="s">
        <v>276</v>
      </c>
      <c r="G244" s="1272" t="s">
        <v>928</v>
      </c>
      <c r="H244" s="1536" t="s">
        <v>638</v>
      </c>
      <c r="I244" s="1537" t="s">
        <v>639</v>
      </c>
      <c r="J244" s="1538" t="s">
        <v>639</v>
      </c>
      <c r="L244" s="1196"/>
      <c r="M244" s="1216"/>
      <c r="N244" s="1196"/>
      <c r="O244" s="1196"/>
      <c r="P244" s="1196"/>
      <c r="Q244" s="1196"/>
      <c r="R244" s="1196"/>
    </row>
    <row r="245" spans="2:18" s="1209" customFormat="1" x14ac:dyDescent="0.2">
      <c r="B245" s="1311"/>
      <c r="C245" s="1578"/>
      <c r="D245" s="1566"/>
      <c r="E245" s="1579"/>
      <c r="F245" s="1580" t="s">
        <v>975</v>
      </c>
      <c r="G245" s="1568" t="s">
        <v>1245</v>
      </c>
      <c r="H245" s="1569" t="s">
        <v>644</v>
      </c>
      <c r="I245" s="1569" t="s">
        <v>641</v>
      </c>
      <c r="J245" s="1570" t="s">
        <v>510</v>
      </c>
      <c r="L245" s="1207"/>
      <c r="M245" s="1216"/>
      <c r="N245" s="1207"/>
      <c r="O245" s="1207"/>
      <c r="P245" s="1207"/>
      <c r="Q245" s="1207"/>
      <c r="R245" s="1207"/>
    </row>
    <row r="246" spans="2:18" s="1209" customFormat="1" x14ac:dyDescent="0.2">
      <c r="B246" s="1199"/>
      <c r="C246" s="1200"/>
      <c r="D246" s="1539"/>
      <c r="E246" s="1581"/>
      <c r="F246" s="1368" t="s">
        <v>827</v>
      </c>
      <c r="G246" s="1368"/>
      <c r="H246" s="1320"/>
      <c r="I246" s="1320"/>
      <c r="J246" s="1321"/>
      <c r="L246" s="1207"/>
      <c r="M246" s="1216"/>
      <c r="N246" s="1207"/>
      <c r="O246" s="1207"/>
      <c r="P246" s="1207"/>
      <c r="Q246" s="1207"/>
      <c r="R246" s="1207"/>
    </row>
    <row r="247" spans="2:18" s="1217" customFormat="1" x14ac:dyDescent="0.2">
      <c r="B247" s="1424" t="s">
        <v>743</v>
      </c>
      <c r="C247" s="3040"/>
      <c r="D247" s="3058"/>
      <c r="E247" s="3041"/>
      <c r="F247" s="1474"/>
      <c r="G247" s="2037"/>
      <c r="H247" s="1541">
        <f t="shared" ref="H247:H256" si="40">IF(F247="ระดับชาติ",6,IF(F247="ระดับนานาชาติ",10,0))</f>
        <v>0</v>
      </c>
      <c r="I247" s="1426">
        <f>IF(C247&lt;&gt;"",H247,0)</f>
        <v>0</v>
      </c>
      <c r="J247" s="1390">
        <f t="shared" ref="J247:J256" si="41">I247/15</f>
        <v>0</v>
      </c>
      <c r="L247" s="1216"/>
      <c r="M247" s="1216">
        <f t="shared" ref="M247:M256" si="42">IF(G247&lt;&gt;"",IF(AND(G247&gt;=$M$12,G247&lt;=$N$12),1,0),0)</f>
        <v>0</v>
      </c>
      <c r="N247" s="1216"/>
      <c r="O247" s="1216"/>
      <c r="P247" s="1216"/>
      <c r="Q247" s="1216"/>
      <c r="R247" s="1216"/>
    </row>
    <row r="248" spans="2:18" s="1217" customFormat="1" x14ac:dyDescent="0.2">
      <c r="B248" s="1424" t="s">
        <v>744</v>
      </c>
      <c r="C248" s="3040"/>
      <c r="D248" s="3058"/>
      <c r="E248" s="3041"/>
      <c r="F248" s="1474"/>
      <c r="G248" s="2037"/>
      <c r="H248" s="1541">
        <f t="shared" si="40"/>
        <v>0</v>
      </c>
      <c r="I248" s="1426">
        <f t="shared" ref="I248:I256" si="43">IF(C248&lt;&gt;"",H248,0)</f>
        <v>0</v>
      </c>
      <c r="J248" s="1390">
        <f t="shared" si="41"/>
        <v>0</v>
      </c>
      <c r="L248" s="1216"/>
      <c r="M248" s="1216">
        <f t="shared" si="42"/>
        <v>0</v>
      </c>
      <c r="N248" s="1216"/>
      <c r="O248" s="1216"/>
      <c r="P248" s="1216"/>
      <c r="Q248" s="1216"/>
      <c r="R248" s="1216"/>
    </row>
    <row r="249" spans="2:18" s="1217" customFormat="1" x14ac:dyDescent="0.2">
      <c r="B249" s="1424" t="s">
        <v>745</v>
      </c>
      <c r="C249" s="3040"/>
      <c r="D249" s="3058"/>
      <c r="E249" s="3041"/>
      <c r="F249" s="1474"/>
      <c r="G249" s="2037"/>
      <c r="H249" s="1541">
        <f t="shared" si="40"/>
        <v>0</v>
      </c>
      <c r="I249" s="1426">
        <f t="shared" si="43"/>
        <v>0</v>
      </c>
      <c r="J249" s="1390">
        <f t="shared" si="41"/>
        <v>0</v>
      </c>
      <c r="L249" s="1216"/>
      <c r="M249" s="1216">
        <f t="shared" si="42"/>
        <v>0</v>
      </c>
      <c r="N249" s="1216"/>
      <c r="O249" s="1216"/>
      <c r="P249" s="1216"/>
      <c r="Q249" s="1216"/>
      <c r="R249" s="1216"/>
    </row>
    <row r="250" spans="2:18" s="1217" customFormat="1" x14ac:dyDescent="0.2">
      <c r="B250" s="1424" t="s">
        <v>746</v>
      </c>
      <c r="C250" s="3040"/>
      <c r="D250" s="3058"/>
      <c r="E250" s="3041"/>
      <c r="F250" s="1474"/>
      <c r="G250" s="2037"/>
      <c r="H250" s="1541">
        <f t="shared" si="40"/>
        <v>0</v>
      </c>
      <c r="I250" s="1426">
        <f t="shared" si="43"/>
        <v>0</v>
      </c>
      <c r="J250" s="1390">
        <f t="shared" si="41"/>
        <v>0</v>
      </c>
      <c r="L250" s="1216"/>
      <c r="M250" s="1216">
        <f t="shared" si="42"/>
        <v>0</v>
      </c>
      <c r="N250" s="1216"/>
      <c r="O250" s="1216"/>
      <c r="P250" s="1216"/>
      <c r="Q250" s="1216"/>
      <c r="R250" s="1216"/>
    </row>
    <row r="251" spans="2:18" s="1217" customFormat="1" x14ac:dyDescent="0.2">
      <c r="B251" s="1424" t="s">
        <v>747</v>
      </c>
      <c r="C251" s="3040"/>
      <c r="D251" s="3058"/>
      <c r="E251" s="3041"/>
      <c r="F251" s="1474"/>
      <c r="G251" s="2037"/>
      <c r="H251" s="1541">
        <f t="shared" si="40"/>
        <v>0</v>
      </c>
      <c r="I251" s="1426">
        <f t="shared" si="43"/>
        <v>0</v>
      </c>
      <c r="J251" s="1390">
        <f t="shared" si="41"/>
        <v>0</v>
      </c>
      <c r="L251" s="1216"/>
      <c r="M251" s="1216">
        <f t="shared" si="42"/>
        <v>0</v>
      </c>
      <c r="N251" s="1216"/>
      <c r="O251" s="1216"/>
      <c r="P251" s="1216"/>
      <c r="Q251" s="1216"/>
      <c r="R251" s="1216"/>
    </row>
    <row r="252" spans="2:18" s="1217" customFormat="1" x14ac:dyDescent="0.2">
      <c r="B252" s="1424" t="s">
        <v>748</v>
      </c>
      <c r="C252" s="3040"/>
      <c r="D252" s="3058"/>
      <c r="E252" s="3041"/>
      <c r="F252" s="1474"/>
      <c r="G252" s="2037"/>
      <c r="H252" s="1541">
        <f t="shared" si="40"/>
        <v>0</v>
      </c>
      <c r="I252" s="1426">
        <f t="shared" si="43"/>
        <v>0</v>
      </c>
      <c r="J252" s="1390">
        <f t="shared" si="41"/>
        <v>0</v>
      </c>
      <c r="L252" s="1216"/>
      <c r="M252" s="1216">
        <f t="shared" si="42"/>
        <v>0</v>
      </c>
      <c r="N252" s="1216"/>
      <c r="O252" s="1216"/>
      <c r="P252" s="1216"/>
      <c r="Q252" s="1216"/>
      <c r="R252" s="1216"/>
    </row>
    <row r="253" spans="2:18" s="1217" customFormat="1" x14ac:dyDescent="0.2">
      <c r="B253" s="1424" t="s">
        <v>749</v>
      </c>
      <c r="C253" s="3040"/>
      <c r="D253" s="3058"/>
      <c r="E253" s="3041"/>
      <c r="F253" s="1474"/>
      <c r="G253" s="2037"/>
      <c r="H253" s="1541">
        <f t="shared" si="40"/>
        <v>0</v>
      </c>
      <c r="I253" s="1426">
        <f t="shared" si="43"/>
        <v>0</v>
      </c>
      <c r="J253" s="1390">
        <f t="shared" si="41"/>
        <v>0</v>
      </c>
      <c r="L253" s="1216"/>
      <c r="M253" s="1216">
        <f t="shared" si="42"/>
        <v>0</v>
      </c>
      <c r="N253" s="1216"/>
      <c r="O253" s="1216"/>
      <c r="P253" s="1216"/>
      <c r="Q253" s="1216"/>
      <c r="R253" s="1216"/>
    </row>
    <row r="254" spans="2:18" s="1217" customFormat="1" x14ac:dyDescent="0.2">
      <c r="B254" s="1424" t="s">
        <v>750</v>
      </c>
      <c r="C254" s="3040"/>
      <c r="D254" s="3058"/>
      <c r="E254" s="3041"/>
      <c r="F254" s="1474"/>
      <c r="G254" s="2037"/>
      <c r="H254" s="1541">
        <f t="shared" si="40"/>
        <v>0</v>
      </c>
      <c r="I254" s="1426">
        <f t="shared" si="43"/>
        <v>0</v>
      </c>
      <c r="J254" s="1390">
        <f t="shared" si="41"/>
        <v>0</v>
      </c>
      <c r="L254" s="1216"/>
      <c r="M254" s="1216">
        <f t="shared" si="42"/>
        <v>0</v>
      </c>
      <c r="N254" s="1216"/>
      <c r="O254" s="1216"/>
      <c r="P254" s="1216"/>
      <c r="Q254" s="1216"/>
      <c r="R254" s="1216"/>
    </row>
    <row r="255" spans="2:18" s="1217" customFormat="1" x14ac:dyDescent="0.2">
      <c r="B255" s="1424" t="s">
        <v>925</v>
      </c>
      <c r="C255" s="3040"/>
      <c r="D255" s="3058"/>
      <c r="E255" s="3041"/>
      <c r="F255" s="1474"/>
      <c r="G255" s="2037"/>
      <c r="H255" s="1541">
        <f t="shared" si="40"/>
        <v>0</v>
      </c>
      <c r="I255" s="1426">
        <f t="shared" si="43"/>
        <v>0</v>
      </c>
      <c r="J255" s="1390">
        <f t="shared" si="41"/>
        <v>0</v>
      </c>
      <c r="L255" s="1216"/>
      <c r="M255" s="1216">
        <f t="shared" si="42"/>
        <v>0</v>
      </c>
      <c r="N255" s="1216"/>
      <c r="O255" s="1216"/>
      <c r="P255" s="1216"/>
      <c r="Q255" s="1216"/>
      <c r="R255" s="1216"/>
    </row>
    <row r="256" spans="2:18" s="1217" customFormat="1" x14ac:dyDescent="0.2">
      <c r="B256" s="1424" t="s">
        <v>926</v>
      </c>
      <c r="C256" s="3040"/>
      <c r="D256" s="3058"/>
      <c r="E256" s="3041"/>
      <c r="F256" s="1474"/>
      <c r="G256" s="2037"/>
      <c r="H256" s="1541">
        <f t="shared" si="40"/>
        <v>0</v>
      </c>
      <c r="I256" s="1426">
        <f t="shared" si="43"/>
        <v>0</v>
      </c>
      <c r="J256" s="1390">
        <f t="shared" si="41"/>
        <v>0</v>
      </c>
      <c r="L256" s="1216"/>
      <c r="M256" s="1216">
        <f t="shared" si="42"/>
        <v>0</v>
      </c>
      <c r="N256" s="1216"/>
      <c r="O256" s="1216"/>
      <c r="P256" s="1216"/>
      <c r="Q256" s="1216"/>
      <c r="R256" s="1216"/>
    </row>
    <row r="257" spans="2:18" s="1217" customFormat="1" x14ac:dyDescent="0.2">
      <c r="B257" s="1542"/>
      <c r="C257" s="1328"/>
      <c r="D257" s="1328"/>
      <c r="E257" s="1543"/>
      <c r="F257" s="1544"/>
      <c r="G257" s="1545">
        <f>SUM(M247:M256)</f>
        <v>0</v>
      </c>
      <c r="H257" s="1329" t="s">
        <v>456</v>
      </c>
      <c r="I257" s="1282">
        <f>SUM(I247:I256)</f>
        <v>0</v>
      </c>
      <c r="J257" s="1283">
        <f>SUM(J247:J256)</f>
        <v>0</v>
      </c>
      <c r="L257" s="1216"/>
      <c r="M257" s="1216"/>
      <c r="N257" s="1216"/>
      <c r="O257" s="1216"/>
      <c r="P257" s="1216"/>
      <c r="Q257" s="1216"/>
      <c r="R257" s="1216"/>
    </row>
    <row r="258" spans="2:18" s="1304" customFormat="1" ht="15" x14ac:dyDescent="0.2">
      <c r="B258" s="1298"/>
      <c r="C258" s="1299"/>
      <c r="D258" s="1299"/>
      <c r="E258" s="1299"/>
      <c r="F258" s="1298"/>
      <c r="G258" s="1298"/>
      <c r="H258" s="1299"/>
      <c r="I258" s="1433"/>
      <c r="J258" s="1433"/>
      <c r="L258" s="1302"/>
      <c r="M258" s="1216"/>
      <c r="N258" s="1302"/>
      <c r="O258" s="1302"/>
      <c r="P258" s="1302"/>
      <c r="Q258" s="1302"/>
      <c r="R258" s="1302"/>
    </row>
    <row r="259" spans="2:18" s="1304" customFormat="1" ht="15" x14ac:dyDescent="0.2">
      <c r="B259" s="1434"/>
      <c r="C259" s="1560"/>
      <c r="D259" s="1560"/>
      <c r="E259" s="1560"/>
      <c r="F259" s="1434"/>
      <c r="G259" s="1434"/>
      <c r="H259" s="1560"/>
      <c r="I259" s="1448"/>
      <c r="J259" s="1448"/>
      <c r="L259" s="1302"/>
      <c r="M259" s="1216"/>
      <c r="N259" s="1302"/>
      <c r="O259" s="1302"/>
      <c r="P259" s="1302"/>
      <c r="Q259" s="1302"/>
      <c r="R259" s="1302"/>
    </row>
    <row r="260" spans="2:18" s="1144" customFormat="1" ht="21" customHeight="1" x14ac:dyDescent="0.25">
      <c r="B260" s="1172" t="s">
        <v>976</v>
      </c>
      <c r="C260" s="1534"/>
      <c r="D260" s="1534"/>
      <c r="E260" s="1174"/>
      <c r="F260" s="1176"/>
      <c r="G260" s="1176"/>
      <c r="H260" s="1176"/>
      <c r="I260" s="1176"/>
      <c r="J260" s="1535"/>
      <c r="L260" s="1147"/>
      <c r="M260" s="1216"/>
      <c r="N260" s="1147"/>
      <c r="O260" s="1147"/>
      <c r="P260" s="1147"/>
      <c r="Q260" s="1147"/>
      <c r="R260" s="1147"/>
    </row>
    <row r="261" spans="2:18" s="1198" customFormat="1" x14ac:dyDescent="0.2">
      <c r="B261" s="1271"/>
      <c r="C261" s="3052" t="s">
        <v>819</v>
      </c>
      <c r="D261" s="3053"/>
      <c r="E261" s="3053"/>
      <c r="F261" s="3054"/>
      <c r="G261" s="1272" t="s">
        <v>928</v>
      </c>
      <c r="H261" s="1536" t="s">
        <v>638</v>
      </c>
      <c r="I261" s="1537" t="s">
        <v>639</v>
      </c>
      <c r="J261" s="1538" t="s">
        <v>639</v>
      </c>
      <c r="L261" s="1196"/>
      <c r="M261" s="1216"/>
      <c r="N261" s="1196"/>
      <c r="O261" s="1196"/>
      <c r="P261" s="1196"/>
      <c r="Q261" s="1196"/>
      <c r="R261" s="1196"/>
    </row>
    <row r="262" spans="2:18" s="1209" customFormat="1" x14ac:dyDescent="0.2">
      <c r="B262" s="1311"/>
      <c r="C262" s="3093"/>
      <c r="D262" s="3094"/>
      <c r="E262" s="3094"/>
      <c r="F262" s="1586"/>
      <c r="G262" s="1568" t="s">
        <v>1245</v>
      </c>
      <c r="H262" s="1569" t="s">
        <v>644</v>
      </c>
      <c r="I262" s="1569" t="s">
        <v>641</v>
      </c>
      <c r="J262" s="1570" t="s">
        <v>510</v>
      </c>
      <c r="L262" s="1207"/>
      <c r="M262" s="1216"/>
      <c r="N262" s="1207"/>
      <c r="O262" s="1207"/>
      <c r="P262" s="1207"/>
      <c r="Q262" s="1207"/>
      <c r="R262" s="1207"/>
    </row>
    <row r="263" spans="2:18" s="1217" customFormat="1" x14ac:dyDescent="0.2">
      <c r="B263" s="1424" t="s">
        <v>743</v>
      </c>
      <c r="C263" s="3040"/>
      <c r="D263" s="3058"/>
      <c r="E263" s="3058"/>
      <c r="F263" s="3041"/>
      <c r="G263" s="2031"/>
      <c r="H263" s="1541">
        <v>3</v>
      </c>
      <c r="I263" s="1426">
        <f>IF(C263&lt;&gt;"",H263,0)</f>
        <v>0</v>
      </c>
      <c r="J263" s="1390">
        <f>I263/15</f>
        <v>0</v>
      </c>
      <c r="L263" s="1216"/>
      <c r="M263" s="1216">
        <f>IF(G263&lt;&gt;"",IF(AND(G263&gt;=$M$12,G263&lt;=$N$12),1,0),0)</f>
        <v>0</v>
      </c>
      <c r="N263" s="1216"/>
      <c r="O263" s="1216"/>
      <c r="P263" s="1216"/>
      <c r="Q263" s="1216"/>
      <c r="R263" s="1216"/>
    </row>
    <row r="264" spans="2:18" s="1217" customFormat="1" x14ac:dyDescent="0.2">
      <c r="B264" s="1424" t="s">
        <v>744</v>
      </c>
      <c r="C264" s="3040"/>
      <c r="D264" s="3058"/>
      <c r="E264" s="3058"/>
      <c r="F264" s="3041"/>
      <c r="G264" s="2031"/>
      <c r="H264" s="1541">
        <v>3</v>
      </c>
      <c r="I264" s="1426">
        <f>IF(C264&lt;&gt;"",H264,0)</f>
        <v>0</v>
      </c>
      <c r="J264" s="1390">
        <f>I264/15</f>
        <v>0</v>
      </c>
      <c r="L264" s="1216"/>
      <c r="M264" s="1216">
        <f>IF(G264&lt;&gt;"",IF(AND(G264&gt;=$M$12,G264&lt;=$N$12),1,0),0)</f>
        <v>0</v>
      </c>
      <c r="N264" s="1216"/>
      <c r="O264" s="1216"/>
      <c r="P264" s="1216"/>
      <c r="Q264" s="1216"/>
      <c r="R264" s="1216"/>
    </row>
    <row r="265" spans="2:18" s="1217" customFormat="1" x14ac:dyDescent="0.2">
      <c r="B265" s="1424" t="s">
        <v>745</v>
      </c>
      <c r="C265" s="3040"/>
      <c r="D265" s="3058"/>
      <c r="E265" s="3058"/>
      <c r="F265" s="3041"/>
      <c r="G265" s="2031"/>
      <c r="H265" s="1541">
        <v>3</v>
      </c>
      <c r="I265" s="1426">
        <f>IF(C265&lt;&gt;"",H265,0)</f>
        <v>0</v>
      </c>
      <c r="J265" s="1390">
        <f>I265/15</f>
        <v>0</v>
      </c>
      <c r="L265" s="1216"/>
      <c r="M265" s="1216">
        <f>IF(G265&lt;&gt;"",IF(AND(G265&gt;=$M$12,G265&lt;=$N$12),1,0),0)</f>
        <v>0</v>
      </c>
      <c r="N265" s="1216"/>
      <c r="O265" s="1216"/>
      <c r="P265" s="1216"/>
      <c r="Q265" s="1216"/>
      <c r="R265" s="1216"/>
    </row>
    <row r="266" spans="2:18" s="1217" customFormat="1" x14ac:dyDescent="0.2">
      <c r="B266" s="1424" t="s">
        <v>746</v>
      </c>
      <c r="C266" s="3040"/>
      <c r="D266" s="3058"/>
      <c r="E266" s="3058"/>
      <c r="F266" s="3041"/>
      <c r="G266" s="2031"/>
      <c r="H266" s="1541">
        <v>3</v>
      </c>
      <c r="I266" s="1426">
        <f>IF(C266&lt;&gt;"",H266,0)</f>
        <v>0</v>
      </c>
      <c r="J266" s="1390">
        <f>I266/15</f>
        <v>0</v>
      </c>
      <c r="L266" s="1216"/>
      <c r="M266" s="1216">
        <f>IF(G266&lt;&gt;"",IF(AND(G266&gt;=$M$12,G266&lt;=$N$12),1,0),0)</f>
        <v>0</v>
      </c>
      <c r="N266" s="1216"/>
      <c r="O266" s="1216"/>
      <c r="P266" s="1216"/>
      <c r="Q266" s="1216"/>
      <c r="R266" s="1216"/>
    </row>
    <row r="267" spans="2:18" s="1217" customFormat="1" x14ac:dyDescent="0.2">
      <c r="B267" s="1424" t="s">
        <v>747</v>
      </c>
      <c r="C267" s="3040"/>
      <c r="D267" s="3058"/>
      <c r="E267" s="3058"/>
      <c r="F267" s="3041"/>
      <c r="G267" s="2031"/>
      <c r="H267" s="1541">
        <v>3</v>
      </c>
      <c r="I267" s="1426">
        <f>IF(C267&lt;&gt;"",H267,0)</f>
        <v>0</v>
      </c>
      <c r="J267" s="1390">
        <f>I267/15</f>
        <v>0</v>
      </c>
      <c r="L267" s="1216"/>
      <c r="M267" s="1216">
        <f>IF(G267&lt;&gt;"",IF(AND(G267&gt;=$M$12,G267&lt;=$N$12),1,0),0)</f>
        <v>0</v>
      </c>
      <c r="N267" s="1216"/>
      <c r="O267" s="1216"/>
      <c r="P267" s="1216"/>
      <c r="Q267" s="1216"/>
      <c r="R267" s="1216"/>
    </row>
    <row r="268" spans="2:18" s="1217" customFormat="1" x14ac:dyDescent="0.2">
      <c r="B268" s="1542"/>
      <c r="C268" s="1328"/>
      <c r="D268" s="1328"/>
      <c r="E268" s="1543"/>
      <c r="F268" s="1544"/>
      <c r="G268" s="1545">
        <f>SUM(M263:M267)</f>
        <v>0</v>
      </c>
      <c r="H268" s="1329" t="s">
        <v>456</v>
      </c>
      <c r="I268" s="1282">
        <f>SUM(I263:I267)</f>
        <v>0</v>
      </c>
      <c r="J268" s="1283">
        <f>SUM(J263:J267)</f>
        <v>0</v>
      </c>
      <c r="L268" s="1216"/>
      <c r="M268" s="1216"/>
      <c r="N268" s="1216"/>
      <c r="O268" s="1216"/>
      <c r="P268" s="1216"/>
      <c r="Q268" s="1216"/>
      <c r="R268" s="1216"/>
    </row>
    <row r="269" spans="2:18" s="1304" customFormat="1" ht="15" x14ac:dyDescent="0.2">
      <c r="B269" s="1298"/>
      <c r="C269" s="1299"/>
      <c r="D269" s="1299"/>
      <c r="E269" s="1299"/>
      <c r="F269" s="1298"/>
      <c r="G269" s="1298"/>
      <c r="H269" s="1299"/>
      <c r="I269" s="1433"/>
      <c r="J269" s="1433"/>
      <c r="L269" s="1302"/>
      <c r="M269" s="1216"/>
      <c r="N269" s="1302"/>
      <c r="O269" s="1302"/>
      <c r="P269" s="1302"/>
      <c r="Q269" s="1302"/>
      <c r="R269" s="1302"/>
    </row>
    <row r="270" spans="2:18" s="1304" customFormat="1" ht="15" x14ac:dyDescent="0.2">
      <c r="B270" s="1434"/>
      <c r="C270" s="1560"/>
      <c r="D270" s="1560"/>
      <c r="E270" s="1560"/>
      <c r="F270" s="1434"/>
      <c r="G270" s="1434"/>
      <c r="H270" s="1560"/>
      <c r="I270" s="1448"/>
      <c r="J270" s="1448"/>
      <c r="L270" s="1302"/>
      <c r="M270" s="1216"/>
      <c r="N270" s="1302"/>
      <c r="O270" s="1302"/>
      <c r="P270" s="1302"/>
      <c r="Q270" s="1302"/>
      <c r="R270" s="1302"/>
    </row>
    <row r="271" spans="2:18" s="1144" customFormat="1" ht="21" customHeight="1" x14ac:dyDescent="0.25">
      <c r="B271" s="1172" t="s">
        <v>977</v>
      </c>
      <c r="C271" s="1534"/>
      <c r="D271" s="1534"/>
      <c r="E271" s="1174"/>
      <c r="F271" s="1176"/>
      <c r="G271" s="1176"/>
      <c r="H271" s="1176"/>
      <c r="I271" s="1176"/>
      <c r="J271" s="1535"/>
      <c r="L271" s="1147"/>
      <c r="M271" s="1216"/>
      <c r="N271" s="1147"/>
      <c r="O271" s="1147"/>
      <c r="P271" s="1147"/>
      <c r="Q271" s="1147"/>
      <c r="R271" s="1147"/>
    </row>
    <row r="272" spans="2:18" s="1198" customFormat="1" x14ac:dyDescent="0.2">
      <c r="B272" s="1271"/>
      <c r="C272" s="1892" t="s">
        <v>687</v>
      </c>
      <c r="D272" s="1577" t="s">
        <v>978</v>
      </c>
      <c r="E272" s="1471" t="s">
        <v>979</v>
      </c>
      <c r="F272" s="1272" t="s">
        <v>928</v>
      </c>
      <c r="G272" s="1577" t="s">
        <v>1010</v>
      </c>
      <c r="H272" s="1536" t="s">
        <v>638</v>
      </c>
      <c r="I272" s="1537" t="s">
        <v>639</v>
      </c>
      <c r="J272" s="1538" t="s">
        <v>639</v>
      </c>
      <c r="L272" s="1196"/>
      <c r="M272" s="1216"/>
      <c r="N272" s="1196"/>
      <c r="O272" s="1196"/>
      <c r="P272" s="1196"/>
      <c r="Q272" s="1196"/>
      <c r="R272" s="1196"/>
    </row>
    <row r="273" spans="2:18" s="1209" customFormat="1" x14ac:dyDescent="0.2">
      <c r="B273" s="1311"/>
      <c r="C273" s="1655"/>
      <c r="D273" s="1580" t="s">
        <v>980</v>
      </c>
      <c r="E273" s="1591"/>
      <c r="F273" s="1568" t="s">
        <v>1245</v>
      </c>
      <c r="G273" s="1568" t="s">
        <v>1245</v>
      </c>
      <c r="H273" s="1569" t="s">
        <v>644</v>
      </c>
      <c r="I273" s="1569" t="s">
        <v>641</v>
      </c>
      <c r="J273" s="1570" t="s">
        <v>510</v>
      </c>
      <c r="L273" s="1207"/>
      <c r="M273" s="1216"/>
      <c r="N273" s="1207"/>
      <c r="O273" s="1207"/>
      <c r="P273" s="1207"/>
      <c r="Q273" s="1207"/>
      <c r="R273" s="1207"/>
    </row>
    <row r="274" spans="2:18" s="1209" customFormat="1" x14ac:dyDescent="0.2">
      <c r="B274" s="1199"/>
      <c r="C274" s="1644"/>
      <c r="D274" s="1368" t="s">
        <v>827</v>
      </c>
      <c r="E274" s="1368"/>
      <c r="F274" s="1368"/>
      <c r="G274" s="1368"/>
      <c r="H274" s="1320"/>
      <c r="I274" s="1320"/>
      <c r="J274" s="1321"/>
      <c r="L274" s="1207"/>
      <c r="M274" s="1216"/>
      <c r="N274" s="1207"/>
      <c r="O274" s="1207"/>
      <c r="P274" s="1207"/>
      <c r="Q274" s="1207"/>
      <c r="R274" s="1207"/>
    </row>
    <row r="275" spans="2:18" s="1217" customFormat="1" ht="16.5" customHeight="1" x14ac:dyDescent="0.2">
      <c r="B275" s="1592" t="s">
        <v>981</v>
      </c>
      <c r="C275" s="1593"/>
      <c r="D275" s="1594"/>
      <c r="E275" s="1595"/>
      <c r="F275" s="1656"/>
      <c r="G275" s="1656"/>
      <c r="H275" s="1594"/>
      <c r="I275" s="1594"/>
      <c r="J275" s="1596"/>
      <c r="L275" s="1216"/>
      <c r="M275" s="1216"/>
      <c r="N275" s="1216"/>
      <c r="O275" s="1216"/>
      <c r="P275" s="1216"/>
      <c r="Q275" s="1216"/>
      <c r="R275" s="1216"/>
    </row>
    <row r="276" spans="2:18" s="1217" customFormat="1" x14ac:dyDescent="0.2">
      <c r="B276" s="1424" t="s">
        <v>743</v>
      </c>
      <c r="C276" s="1647" t="s">
        <v>1284</v>
      </c>
      <c r="D276" s="1474" t="s">
        <v>296</v>
      </c>
      <c r="E276" s="1558">
        <v>3</v>
      </c>
      <c r="F276" s="2033"/>
      <c r="G276" s="2033"/>
      <c r="H276" s="1541">
        <f>IF(D276="ในประเทศ",50,IF(D276="นานาชาติ",100,0))</f>
        <v>50</v>
      </c>
      <c r="I276" s="1426">
        <f>IF(OR(E276="",E276=0),0,H276/E276)</f>
        <v>16.666666666666668</v>
      </c>
      <c r="J276" s="1390">
        <f t="shared" ref="J276:J285" si="44">I276/15</f>
        <v>1.1111111111111112</v>
      </c>
      <c r="L276" s="1216"/>
      <c r="M276" s="1216">
        <f>IF(F276&lt;&gt;"",IF(F276&lt;$M$12,0,1),0)</f>
        <v>0</v>
      </c>
      <c r="N276" s="1216">
        <f>IF(G276&lt;&gt;"",IF(G276&gt;$N$12,1,IF(G276&gt;=$M$12,1,0)),0)</f>
        <v>0</v>
      </c>
      <c r="O276" s="1216">
        <f>IF(OR(M276=1,N276=1),1,0)</f>
        <v>0</v>
      </c>
      <c r="P276" s="1216"/>
      <c r="Q276" s="1216"/>
      <c r="R276" s="1216"/>
    </row>
    <row r="277" spans="2:18" s="1217" customFormat="1" x14ac:dyDescent="0.2">
      <c r="B277" s="1424" t="s">
        <v>744</v>
      </c>
      <c r="C277" s="1647"/>
      <c r="D277" s="1474"/>
      <c r="E277" s="1558"/>
      <c r="F277" s="2033"/>
      <c r="G277" s="2033"/>
      <c r="H277" s="1541">
        <f t="shared" ref="H277:H285" si="45">IF(D277="ในประเทศ",50,IF(D277="นานาชาติ",100,0))</f>
        <v>0</v>
      </c>
      <c r="I277" s="1426">
        <f t="shared" ref="I277:I284" si="46">IF(OR(E277="",E277=0),0,H277/E277)</f>
        <v>0</v>
      </c>
      <c r="J277" s="1390">
        <f t="shared" si="44"/>
        <v>0</v>
      </c>
      <c r="L277" s="1216"/>
      <c r="M277" s="1216">
        <f t="shared" ref="M277:M334" si="47">IF(F277&lt;&gt;"",IF(F277&lt;$M$12,0,1),0)</f>
        <v>0</v>
      </c>
      <c r="N277" s="1216">
        <f t="shared" ref="N277:N334" si="48">IF(G277&lt;&gt;"",IF(G277&gt;$N$12,1,IF(G277&gt;=$M$12,1,0)),0)</f>
        <v>0</v>
      </c>
      <c r="O277" s="1216">
        <f t="shared" ref="O277:O334" si="49">IF(OR(M277=1,N277=1),1,0)</f>
        <v>0</v>
      </c>
      <c r="P277" s="1216"/>
      <c r="Q277" s="1216"/>
      <c r="R277" s="1216"/>
    </row>
    <row r="278" spans="2:18" s="1217" customFormat="1" x14ac:dyDescent="0.2">
      <c r="B278" s="1424" t="s">
        <v>745</v>
      </c>
      <c r="C278" s="1647"/>
      <c r="D278" s="1474"/>
      <c r="E278" s="1558"/>
      <c r="F278" s="2033"/>
      <c r="G278" s="2033"/>
      <c r="H278" s="1541">
        <f t="shared" si="45"/>
        <v>0</v>
      </c>
      <c r="I278" s="1426">
        <f t="shared" si="46"/>
        <v>0</v>
      </c>
      <c r="J278" s="1390">
        <f t="shared" si="44"/>
        <v>0</v>
      </c>
      <c r="L278" s="1216"/>
      <c r="M278" s="1216">
        <f t="shared" si="47"/>
        <v>0</v>
      </c>
      <c r="N278" s="1216">
        <f t="shared" si="48"/>
        <v>0</v>
      </c>
      <c r="O278" s="1216">
        <f t="shared" si="49"/>
        <v>0</v>
      </c>
      <c r="P278" s="1216"/>
      <c r="Q278" s="1216"/>
      <c r="R278" s="1216"/>
    </row>
    <row r="279" spans="2:18" s="1217" customFormat="1" x14ac:dyDescent="0.2">
      <c r="B279" s="1424" t="s">
        <v>746</v>
      </c>
      <c r="C279" s="1647"/>
      <c r="D279" s="1474"/>
      <c r="E279" s="1558"/>
      <c r="F279" s="2033"/>
      <c r="G279" s="2033"/>
      <c r="H279" s="1541">
        <f t="shared" si="45"/>
        <v>0</v>
      </c>
      <c r="I279" s="1426">
        <f t="shared" si="46"/>
        <v>0</v>
      </c>
      <c r="J279" s="1390">
        <f t="shared" si="44"/>
        <v>0</v>
      </c>
      <c r="L279" s="1216"/>
      <c r="M279" s="1216">
        <f t="shared" si="47"/>
        <v>0</v>
      </c>
      <c r="N279" s="1216">
        <f t="shared" si="48"/>
        <v>0</v>
      </c>
      <c r="O279" s="1216">
        <f t="shared" si="49"/>
        <v>0</v>
      </c>
      <c r="P279" s="1216"/>
      <c r="Q279" s="1216"/>
      <c r="R279" s="1216"/>
    </row>
    <row r="280" spans="2:18" s="1217" customFormat="1" x14ac:dyDescent="0.2">
      <c r="B280" s="1424" t="s">
        <v>747</v>
      </c>
      <c r="C280" s="1647"/>
      <c r="D280" s="1474"/>
      <c r="E280" s="1558"/>
      <c r="F280" s="2033"/>
      <c r="G280" s="2033"/>
      <c r="H280" s="1541">
        <f t="shared" si="45"/>
        <v>0</v>
      </c>
      <c r="I280" s="1426">
        <f t="shared" si="46"/>
        <v>0</v>
      </c>
      <c r="J280" s="1390">
        <f t="shared" si="44"/>
        <v>0</v>
      </c>
      <c r="L280" s="1216"/>
      <c r="M280" s="1216">
        <f t="shared" si="47"/>
        <v>0</v>
      </c>
      <c r="N280" s="1216">
        <f t="shared" si="48"/>
        <v>0</v>
      </c>
      <c r="O280" s="1216">
        <f t="shared" si="49"/>
        <v>0</v>
      </c>
      <c r="P280" s="1216"/>
      <c r="Q280" s="1216"/>
      <c r="R280" s="1216"/>
    </row>
    <row r="281" spans="2:18" s="1217" customFormat="1" x14ac:dyDescent="0.2">
      <c r="B281" s="1424" t="s">
        <v>748</v>
      </c>
      <c r="C281" s="1647"/>
      <c r="D281" s="1474"/>
      <c r="E281" s="1558"/>
      <c r="F281" s="2033"/>
      <c r="G281" s="2033"/>
      <c r="H281" s="1541">
        <f t="shared" si="45"/>
        <v>0</v>
      </c>
      <c r="I281" s="1426">
        <f t="shared" si="46"/>
        <v>0</v>
      </c>
      <c r="J281" s="1390">
        <f t="shared" si="44"/>
        <v>0</v>
      </c>
      <c r="L281" s="1216"/>
      <c r="M281" s="1216">
        <f t="shared" si="47"/>
        <v>0</v>
      </c>
      <c r="N281" s="1216">
        <f t="shared" si="48"/>
        <v>0</v>
      </c>
      <c r="O281" s="1216">
        <f t="shared" si="49"/>
        <v>0</v>
      </c>
      <c r="P281" s="1216"/>
      <c r="Q281" s="1216"/>
      <c r="R281" s="1216"/>
    </row>
    <row r="282" spans="2:18" s="1217" customFormat="1" x14ac:dyDescent="0.2">
      <c r="B282" s="1424" t="s">
        <v>749</v>
      </c>
      <c r="C282" s="1647"/>
      <c r="D282" s="1474"/>
      <c r="E282" s="1558"/>
      <c r="F282" s="2033"/>
      <c r="G282" s="2033"/>
      <c r="H282" s="1541">
        <f t="shared" si="45"/>
        <v>0</v>
      </c>
      <c r="I282" s="1426">
        <f t="shared" si="46"/>
        <v>0</v>
      </c>
      <c r="J282" s="1390">
        <f t="shared" si="44"/>
        <v>0</v>
      </c>
      <c r="L282" s="1216"/>
      <c r="M282" s="1216">
        <f t="shared" si="47"/>
        <v>0</v>
      </c>
      <c r="N282" s="1216">
        <f t="shared" si="48"/>
        <v>0</v>
      </c>
      <c r="O282" s="1216">
        <f t="shared" si="49"/>
        <v>0</v>
      </c>
      <c r="P282" s="1216"/>
      <c r="Q282" s="1216"/>
      <c r="R282" s="1216"/>
    </row>
    <row r="283" spans="2:18" s="1217" customFormat="1" x14ac:dyDescent="0.2">
      <c r="B283" s="1424" t="s">
        <v>750</v>
      </c>
      <c r="C283" s="1647"/>
      <c r="D283" s="1474"/>
      <c r="E283" s="1558"/>
      <c r="F283" s="2033"/>
      <c r="G283" s="2033"/>
      <c r="H283" s="1541">
        <f t="shared" si="45"/>
        <v>0</v>
      </c>
      <c r="I283" s="1426">
        <f t="shared" si="46"/>
        <v>0</v>
      </c>
      <c r="J283" s="1390">
        <f t="shared" si="44"/>
        <v>0</v>
      </c>
      <c r="L283" s="1216"/>
      <c r="M283" s="1216">
        <f t="shared" si="47"/>
        <v>0</v>
      </c>
      <c r="N283" s="1216">
        <f t="shared" si="48"/>
        <v>0</v>
      </c>
      <c r="O283" s="1216">
        <f t="shared" si="49"/>
        <v>0</v>
      </c>
      <c r="P283" s="1216"/>
      <c r="Q283" s="1216"/>
      <c r="R283" s="1216"/>
    </row>
    <row r="284" spans="2:18" s="1217" customFormat="1" x14ac:dyDescent="0.2">
      <c r="B284" s="1424" t="s">
        <v>925</v>
      </c>
      <c r="C284" s="1647"/>
      <c r="D284" s="1474"/>
      <c r="E284" s="1558"/>
      <c r="F284" s="2033"/>
      <c r="G284" s="2033"/>
      <c r="H284" s="1541">
        <f t="shared" si="45"/>
        <v>0</v>
      </c>
      <c r="I284" s="1426">
        <f t="shared" si="46"/>
        <v>0</v>
      </c>
      <c r="J284" s="1390">
        <f t="shared" si="44"/>
        <v>0</v>
      </c>
      <c r="L284" s="1216"/>
      <c r="M284" s="1216">
        <f t="shared" si="47"/>
        <v>0</v>
      </c>
      <c r="N284" s="1216">
        <f t="shared" si="48"/>
        <v>0</v>
      </c>
      <c r="O284" s="1216">
        <f t="shared" si="49"/>
        <v>0</v>
      </c>
      <c r="P284" s="1216"/>
      <c r="Q284" s="1216"/>
      <c r="R284" s="1216"/>
    </row>
    <row r="285" spans="2:18" s="1217" customFormat="1" x14ac:dyDescent="0.2">
      <c r="B285" s="1424" t="s">
        <v>926</v>
      </c>
      <c r="C285" s="1647"/>
      <c r="D285" s="1474"/>
      <c r="E285" s="1558"/>
      <c r="F285" s="2033"/>
      <c r="G285" s="2033"/>
      <c r="H285" s="1541">
        <f t="shared" si="45"/>
        <v>0</v>
      </c>
      <c r="I285" s="1426">
        <f>IF(OR(E285="",E285=0),0,H285/E285)</f>
        <v>0</v>
      </c>
      <c r="J285" s="1390">
        <f t="shared" si="44"/>
        <v>0</v>
      </c>
      <c r="L285" s="1216"/>
      <c r="M285" s="1216">
        <f t="shared" si="47"/>
        <v>0</v>
      </c>
      <c r="N285" s="1216">
        <f t="shared" si="48"/>
        <v>0</v>
      </c>
      <c r="O285" s="1216">
        <f t="shared" si="49"/>
        <v>0</v>
      </c>
      <c r="P285" s="1216"/>
      <c r="Q285" s="1216"/>
      <c r="R285" s="1216"/>
    </row>
    <row r="286" spans="2:18" s="1217" customFormat="1" x14ac:dyDescent="0.2">
      <c r="B286" s="1542"/>
      <c r="C286" s="1328"/>
      <c r="D286" s="1328"/>
      <c r="E286" s="1543"/>
      <c r="F286" s="1544"/>
      <c r="G286" s="1545">
        <f>SUM(O276:O285)</f>
        <v>0</v>
      </c>
      <c r="H286" s="1329" t="s">
        <v>456</v>
      </c>
      <c r="I286" s="1238">
        <f>SUM(I276:I285)</f>
        <v>16.666666666666668</v>
      </c>
      <c r="J286" s="1239">
        <f>SUM(J276:J285)</f>
        <v>1.1111111111111112</v>
      </c>
      <c r="L286" s="1216"/>
      <c r="M286" s="1216"/>
      <c r="N286" s="1216"/>
      <c r="O286" s="1216"/>
      <c r="P286" s="1216"/>
      <c r="Q286" s="1216"/>
      <c r="R286" s="1216"/>
    </row>
    <row r="287" spans="2:18" s="1198" customFormat="1" x14ac:dyDescent="0.2">
      <c r="B287" s="1271"/>
      <c r="C287" s="1892" t="s">
        <v>687</v>
      </c>
      <c r="D287" s="1577" t="s">
        <v>978</v>
      </c>
      <c r="E287" s="1471" t="s">
        <v>759</v>
      </c>
      <c r="F287" s="1272" t="s">
        <v>928</v>
      </c>
      <c r="G287" s="1577" t="s">
        <v>1010</v>
      </c>
      <c r="H287" s="1536" t="s">
        <v>638</v>
      </c>
      <c r="I287" s="1537" t="s">
        <v>639</v>
      </c>
      <c r="J287" s="1538" t="s">
        <v>639</v>
      </c>
      <c r="L287" s="1196"/>
      <c r="M287" s="1216"/>
      <c r="N287" s="1216"/>
      <c r="O287" s="1216"/>
      <c r="P287" s="1196"/>
      <c r="Q287" s="1196"/>
      <c r="R287" s="1196"/>
    </row>
    <row r="288" spans="2:18" s="1209" customFormat="1" x14ac:dyDescent="0.2">
      <c r="B288" s="1311"/>
      <c r="C288" s="1655"/>
      <c r="D288" s="1580" t="s">
        <v>980</v>
      </c>
      <c r="E288" s="1194" t="s">
        <v>982</v>
      </c>
      <c r="F288" s="1568" t="s">
        <v>1245</v>
      </c>
      <c r="G288" s="1568" t="s">
        <v>1245</v>
      </c>
      <c r="H288" s="1569" t="s">
        <v>644</v>
      </c>
      <c r="I288" s="1569" t="s">
        <v>641</v>
      </c>
      <c r="J288" s="1570" t="s">
        <v>510</v>
      </c>
      <c r="L288" s="1207"/>
      <c r="M288" s="1216"/>
      <c r="N288" s="1216"/>
      <c r="O288" s="1216"/>
      <c r="P288" s="1207"/>
      <c r="Q288" s="1207"/>
      <c r="R288" s="1207"/>
    </row>
    <row r="289" spans="2:18" s="1209" customFormat="1" x14ac:dyDescent="0.2">
      <c r="B289" s="1199"/>
      <c r="C289" s="1644"/>
      <c r="D289" s="1368" t="s">
        <v>827</v>
      </c>
      <c r="E289" s="1201" t="s">
        <v>983</v>
      </c>
      <c r="F289" s="1201"/>
      <c r="G289" s="1201"/>
      <c r="H289" s="1320"/>
      <c r="I289" s="1320"/>
      <c r="J289" s="1321"/>
      <c r="L289" s="1207"/>
      <c r="M289" s="1216"/>
      <c r="N289" s="1216"/>
      <c r="O289" s="1216"/>
      <c r="P289" s="1207"/>
      <c r="Q289" s="1207"/>
      <c r="R289" s="1207"/>
    </row>
    <row r="290" spans="2:18" s="1217" customFormat="1" ht="16.5" customHeight="1" x14ac:dyDescent="0.2">
      <c r="B290" s="1592" t="s">
        <v>984</v>
      </c>
      <c r="C290" s="1593"/>
      <c r="D290" s="1594"/>
      <c r="E290" s="1595"/>
      <c r="F290" s="1595"/>
      <c r="G290" s="1595"/>
      <c r="H290" s="1594"/>
      <c r="I290" s="1594"/>
      <c r="J290" s="1596"/>
      <c r="L290" s="1216"/>
      <c r="M290" s="1216"/>
      <c r="N290" s="1216"/>
      <c r="O290" s="1216"/>
      <c r="P290" s="1216"/>
      <c r="Q290" s="1216"/>
      <c r="R290" s="1216"/>
    </row>
    <row r="291" spans="2:18" s="1217" customFormat="1" x14ac:dyDescent="0.2">
      <c r="B291" s="1424" t="s">
        <v>743</v>
      </c>
      <c r="C291" s="1647" t="s">
        <v>1284</v>
      </c>
      <c r="D291" s="1474" t="s">
        <v>296</v>
      </c>
      <c r="E291" s="1558">
        <v>6</v>
      </c>
      <c r="F291" s="2033"/>
      <c r="G291" s="2033"/>
      <c r="H291" s="1541">
        <f>IF(OR(D291="ในประเทศ",D291="นานาชาติ"),1,0)</f>
        <v>1</v>
      </c>
      <c r="I291" s="1426">
        <f>H291*E291</f>
        <v>6</v>
      </c>
      <c r="J291" s="1390">
        <f>I291/15</f>
        <v>0.4</v>
      </c>
      <c r="L291" s="1216"/>
      <c r="M291" s="1216">
        <f t="shared" si="47"/>
        <v>0</v>
      </c>
      <c r="N291" s="1216">
        <f t="shared" si="48"/>
        <v>0</v>
      </c>
      <c r="O291" s="1216">
        <f t="shared" si="49"/>
        <v>0</v>
      </c>
      <c r="P291" s="1216"/>
      <c r="Q291" s="1216"/>
      <c r="R291" s="1216"/>
    </row>
    <row r="292" spans="2:18" s="1217" customFormat="1" x14ac:dyDescent="0.2">
      <c r="B292" s="1424" t="s">
        <v>744</v>
      </c>
      <c r="C292" s="1647" t="s">
        <v>1285</v>
      </c>
      <c r="D292" s="1474" t="s">
        <v>296</v>
      </c>
      <c r="E292" s="1558">
        <v>16</v>
      </c>
      <c r="F292" s="2033"/>
      <c r="G292" s="2033"/>
      <c r="H292" s="1541">
        <f t="shared" ref="H292:H300" si="50">IF(OR(D292="ในประเทศ",D292="นานาชาติ"),1,0)</f>
        <v>1</v>
      </c>
      <c r="I292" s="1426">
        <f t="shared" ref="I292:I300" si="51">H292*E292</f>
        <v>16</v>
      </c>
      <c r="J292" s="1390">
        <f t="shared" ref="J292:J300" si="52">I292/15</f>
        <v>1.0666666666666667</v>
      </c>
      <c r="L292" s="1216"/>
      <c r="M292" s="1216">
        <f t="shared" si="47"/>
        <v>0</v>
      </c>
      <c r="N292" s="1216">
        <f t="shared" si="48"/>
        <v>0</v>
      </c>
      <c r="O292" s="1216">
        <f t="shared" si="49"/>
        <v>0</v>
      </c>
      <c r="P292" s="1216"/>
      <c r="Q292" s="1216"/>
      <c r="R292" s="1216"/>
    </row>
    <row r="293" spans="2:18" s="1217" customFormat="1" x14ac:dyDescent="0.2">
      <c r="B293" s="1424" t="s">
        <v>745</v>
      </c>
      <c r="C293" s="1647"/>
      <c r="D293" s="1474"/>
      <c r="E293" s="1558"/>
      <c r="F293" s="2033"/>
      <c r="G293" s="2033"/>
      <c r="H293" s="1541">
        <f t="shared" si="50"/>
        <v>0</v>
      </c>
      <c r="I293" s="1426">
        <f t="shared" si="51"/>
        <v>0</v>
      </c>
      <c r="J293" s="1390">
        <f t="shared" si="52"/>
        <v>0</v>
      </c>
      <c r="L293" s="1216"/>
      <c r="M293" s="1216">
        <f t="shared" si="47"/>
        <v>0</v>
      </c>
      <c r="N293" s="1216">
        <f t="shared" si="48"/>
        <v>0</v>
      </c>
      <c r="O293" s="1216">
        <f t="shared" si="49"/>
        <v>0</v>
      </c>
      <c r="P293" s="1216"/>
      <c r="Q293" s="1216"/>
      <c r="R293" s="1216"/>
    </row>
    <row r="294" spans="2:18" s="1217" customFormat="1" x14ac:dyDescent="0.2">
      <c r="B294" s="1424" t="s">
        <v>746</v>
      </c>
      <c r="C294" s="1647"/>
      <c r="D294" s="1474"/>
      <c r="E294" s="1558"/>
      <c r="F294" s="2033"/>
      <c r="G294" s="2033"/>
      <c r="H294" s="1541">
        <f t="shared" si="50"/>
        <v>0</v>
      </c>
      <c r="I294" s="1426">
        <f t="shared" si="51"/>
        <v>0</v>
      </c>
      <c r="J294" s="1390">
        <f t="shared" si="52"/>
        <v>0</v>
      </c>
      <c r="L294" s="1216"/>
      <c r="M294" s="1216">
        <f t="shared" si="47"/>
        <v>0</v>
      </c>
      <c r="N294" s="1216">
        <f t="shared" si="48"/>
        <v>0</v>
      </c>
      <c r="O294" s="1216">
        <f t="shared" si="49"/>
        <v>0</v>
      </c>
      <c r="P294" s="1216"/>
      <c r="Q294" s="1216"/>
      <c r="R294" s="1216"/>
    </row>
    <row r="295" spans="2:18" s="1217" customFormat="1" x14ac:dyDescent="0.2">
      <c r="B295" s="1424" t="s">
        <v>747</v>
      </c>
      <c r="C295" s="1647"/>
      <c r="D295" s="1474"/>
      <c r="E295" s="1558"/>
      <c r="F295" s="2033"/>
      <c r="G295" s="2033"/>
      <c r="H295" s="1541">
        <f t="shared" si="50"/>
        <v>0</v>
      </c>
      <c r="I295" s="1426">
        <f t="shared" si="51"/>
        <v>0</v>
      </c>
      <c r="J295" s="1390">
        <f t="shared" si="52"/>
        <v>0</v>
      </c>
      <c r="L295" s="1216"/>
      <c r="M295" s="1216">
        <f t="shared" si="47"/>
        <v>0</v>
      </c>
      <c r="N295" s="1216">
        <f t="shared" si="48"/>
        <v>0</v>
      </c>
      <c r="O295" s="1216">
        <f t="shared" si="49"/>
        <v>0</v>
      </c>
      <c r="P295" s="1216"/>
      <c r="Q295" s="1216"/>
      <c r="R295" s="1216"/>
    </row>
    <row r="296" spans="2:18" s="1217" customFormat="1" x14ac:dyDescent="0.2">
      <c r="B296" s="1424" t="s">
        <v>748</v>
      </c>
      <c r="C296" s="1647"/>
      <c r="D296" s="1474"/>
      <c r="E296" s="1558"/>
      <c r="F296" s="2033"/>
      <c r="G296" s="2033"/>
      <c r="H296" s="1541">
        <f t="shared" si="50"/>
        <v>0</v>
      </c>
      <c r="I296" s="1426">
        <f t="shared" si="51"/>
        <v>0</v>
      </c>
      <c r="J296" s="1390">
        <f t="shared" si="52"/>
        <v>0</v>
      </c>
      <c r="L296" s="1216"/>
      <c r="M296" s="1216">
        <f t="shared" si="47"/>
        <v>0</v>
      </c>
      <c r="N296" s="1216">
        <f t="shared" si="48"/>
        <v>0</v>
      </c>
      <c r="O296" s="1216">
        <f t="shared" si="49"/>
        <v>0</v>
      </c>
      <c r="P296" s="1216"/>
      <c r="Q296" s="1216"/>
      <c r="R296" s="1216"/>
    </row>
    <row r="297" spans="2:18" s="1217" customFormat="1" x14ac:dyDescent="0.2">
      <c r="B297" s="1424" t="s">
        <v>749</v>
      </c>
      <c r="C297" s="1647"/>
      <c r="D297" s="1474"/>
      <c r="E297" s="1558"/>
      <c r="F297" s="2033"/>
      <c r="G297" s="2033"/>
      <c r="H297" s="1541">
        <f t="shared" si="50"/>
        <v>0</v>
      </c>
      <c r="I297" s="1426">
        <f t="shared" si="51"/>
        <v>0</v>
      </c>
      <c r="J297" s="1390">
        <f t="shared" si="52"/>
        <v>0</v>
      </c>
      <c r="L297" s="1216"/>
      <c r="M297" s="1216">
        <f t="shared" si="47"/>
        <v>0</v>
      </c>
      <c r="N297" s="1216">
        <f t="shared" si="48"/>
        <v>0</v>
      </c>
      <c r="O297" s="1216">
        <f t="shared" si="49"/>
        <v>0</v>
      </c>
      <c r="P297" s="1216"/>
      <c r="Q297" s="1216"/>
      <c r="R297" s="1216"/>
    </row>
    <row r="298" spans="2:18" s="1217" customFormat="1" x14ac:dyDescent="0.2">
      <c r="B298" s="1424" t="s">
        <v>750</v>
      </c>
      <c r="C298" s="1647"/>
      <c r="D298" s="1474"/>
      <c r="E298" s="1558"/>
      <c r="F298" s="2033"/>
      <c r="G298" s="2033"/>
      <c r="H298" s="1541">
        <f t="shared" si="50"/>
        <v>0</v>
      </c>
      <c r="I298" s="1426">
        <f t="shared" si="51"/>
        <v>0</v>
      </c>
      <c r="J298" s="1390">
        <f t="shared" si="52"/>
        <v>0</v>
      </c>
      <c r="L298" s="1216"/>
      <c r="M298" s="1216">
        <f t="shared" si="47"/>
        <v>0</v>
      </c>
      <c r="N298" s="1216">
        <f t="shared" si="48"/>
        <v>0</v>
      </c>
      <c r="O298" s="1216">
        <f t="shared" si="49"/>
        <v>0</v>
      </c>
      <c r="P298" s="1216"/>
      <c r="Q298" s="1216"/>
      <c r="R298" s="1216"/>
    </row>
    <row r="299" spans="2:18" s="1217" customFormat="1" x14ac:dyDescent="0.2">
      <c r="B299" s="1424" t="s">
        <v>925</v>
      </c>
      <c r="C299" s="1647"/>
      <c r="D299" s="1474"/>
      <c r="E299" s="1558"/>
      <c r="F299" s="2033"/>
      <c r="G299" s="2033"/>
      <c r="H299" s="1541">
        <f t="shared" si="50"/>
        <v>0</v>
      </c>
      <c r="I299" s="1426">
        <f t="shared" si="51"/>
        <v>0</v>
      </c>
      <c r="J299" s="1390">
        <f t="shared" si="52"/>
        <v>0</v>
      </c>
      <c r="L299" s="1216"/>
      <c r="M299" s="1216">
        <f t="shared" si="47"/>
        <v>0</v>
      </c>
      <c r="N299" s="1216">
        <f t="shared" si="48"/>
        <v>0</v>
      </c>
      <c r="O299" s="1216">
        <f t="shared" si="49"/>
        <v>0</v>
      </c>
      <c r="P299" s="1216"/>
      <c r="Q299" s="1216"/>
      <c r="R299" s="1216"/>
    </row>
    <row r="300" spans="2:18" s="1217" customFormat="1" x14ac:dyDescent="0.2">
      <c r="B300" s="1424" t="s">
        <v>926</v>
      </c>
      <c r="C300" s="1647"/>
      <c r="D300" s="1474"/>
      <c r="E300" s="1558"/>
      <c r="F300" s="2033"/>
      <c r="G300" s="2033"/>
      <c r="H300" s="1541">
        <f t="shared" si="50"/>
        <v>0</v>
      </c>
      <c r="I300" s="1426">
        <f t="shared" si="51"/>
        <v>0</v>
      </c>
      <c r="J300" s="1390">
        <f t="shared" si="52"/>
        <v>0</v>
      </c>
      <c r="L300" s="1216"/>
      <c r="M300" s="1216">
        <f t="shared" si="47"/>
        <v>0</v>
      </c>
      <c r="N300" s="1216">
        <f t="shared" si="48"/>
        <v>0</v>
      </c>
      <c r="O300" s="1216">
        <f t="shared" si="49"/>
        <v>0</v>
      </c>
      <c r="P300" s="1216"/>
      <c r="Q300" s="1216"/>
      <c r="R300" s="1216"/>
    </row>
    <row r="301" spans="2:18" s="1217" customFormat="1" x14ac:dyDescent="0.2">
      <c r="B301" s="1542"/>
      <c r="C301" s="1328"/>
      <c r="D301" s="1328"/>
      <c r="E301" s="1543"/>
      <c r="F301" s="1544"/>
      <c r="G301" s="1545">
        <f>SUM(O291:O300)</f>
        <v>0</v>
      </c>
      <c r="H301" s="1329" t="s">
        <v>456</v>
      </c>
      <c r="I301" s="1282">
        <f>SUM(I291:I300)</f>
        <v>22</v>
      </c>
      <c r="J301" s="1283">
        <f>SUM(J291:J300)</f>
        <v>1.4666666666666668</v>
      </c>
      <c r="L301" s="1216"/>
      <c r="M301" s="1216"/>
      <c r="N301" s="1216"/>
      <c r="O301" s="1216"/>
      <c r="P301" s="1216"/>
      <c r="Q301" s="1216"/>
      <c r="R301" s="1216"/>
    </row>
    <row r="302" spans="2:18" s="1217" customFormat="1" ht="21" customHeight="1" x14ac:dyDescent="0.2">
      <c r="B302" s="1582"/>
      <c r="C302" s="1583"/>
      <c r="D302" s="1583"/>
      <c r="E302" s="1583"/>
      <c r="F302" s="1583"/>
      <c r="G302" s="1394"/>
      <c r="H302" s="1290" t="s">
        <v>985</v>
      </c>
      <c r="I302" s="1401">
        <f>I286+I301</f>
        <v>38.666666666666671</v>
      </c>
      <c r="J302" s="1597">
        <f>J286+J301</f>
        <v>2.5777777777777779</v>
      </c>
      <c r="L302" s="1216"/>
      <c r="M302" s="1216"/>
      <c r="N302" s="1216"/>
      <c r="O302" s="1216"/>
      <c r="P302" s="1216"/>
      <c r="Q302" s="1216"/>
      <c r="R302" s="1216"/>
    </row>
    <row r="303" spans="2:18" s="1304" customFormat="1" ht="15" x14ac:dyDescent="0.2">
      <c r="B303" s="1298"/>
      <c r="C303" s="1299"/>
      <c r="D303" s="1299"/>
      <c r="E303" s="1299"/>
      <c r="F303" s="1298"/>
      <c r="G303" s="1298"/>
      <c r="H303" s="1299"/>
      <c r="I303" s="1433"/>
      <c r="J303" s="1433"/>
      <c r="L303" s="1302"/>
      <c r="M303" s="1216"/>
      <c r="N303" s="1216"/>
      <c r="O303" s="1216"/>
      <c r="P303" s="1302"/>
      <c r="Q303" s="1302"/>
      <c r="R303" s="1302"/>
    </row>
    <row r="304" spans="2:18" s="1304" customFormat="1" ht="15" x14ac:dyDescent="0.2">
      <c r="B304" s="1434"/>
      <c r="C304" s="1560"/>
      <c r="D304" s="1560"/>
      <c r="E304" s="1560"/>
      <c r="F304" s="1434"/>
      <c r="G304" s="1434"/>
      <c r="H304" s="1560"/>
      <c r="I304" s="1448"/>
      <c r="J304" s="1448"/>
      <c r="L304" s="1302"/>
      <c r="M304" s="1216"/>
      <c r="N304" s="1216"/>
      <c r="O304" s="1216"/>
      <c r="P304" s="1302"/>
      <c r="Q304" s="1302"/>
      <c r="R304" s="1302"/>
    </row>
    <row r="305" spans="2:18" s="1144" customFormat="1" ht="21" customHeight="1" x14ac:dyDescent="0.25">
      <c r="B305" s="1172" t="s">
        <v>986</v>
      </c>
      <c r="C305" s="1534"/>
      <c r="D305" s="1534"/>
      <c r="E305" s="1174"/>
      <c r="F305" s="1176"/>
      <c r="G305" s="1176"/>
      <c r="H305" s="1176"/>
      <c r="I305" s="1176"/>
      <c r="J305" s="1535"/>
      <c r="L305" s="1147"/>
      <c r="M305" s="1216"/>
      <c r="N305" s="1216"/>
      <c r="O305" s="1216"/>
      <c r="P305" s="1147"/>
      <c r="Q305" s="1147"/>
      <c r="R305" s="1147"/>
    </row>
    <row r="306" spans="2:18" s="1198" customFormat="1" x14ac:dyDescent="0.2">
      <c r="B306" s="1271"/>
      <c r="C306" s="1521" t="s">
        <v>687</v>
      </c>
      <c r="D306" s="1577" t="s">
        <v>978</v>
      </c>
      <c r="E306" s="1471" t="s">
        <v>979</v>
      </c>
      <c r="F306" s="1272" t="s">
        <v>928</v>
      </c>
      <c r="G306" s="1272" t="s">
        <v>1010</v>
      </c>
      <c r="H306" s="1536" t="s">
        <v>638</v>
      </c>
      <c r="I306" s="1537" t="s">
        <v>639</v>
      </c>
      <c r="J306" s="1538" t="s">
        <v>639</v>
      </c>
      <c r="L306" s="1196"/>
      <c r="M306" s="1216"/>
      <c r="N306" s="1216"/>
      <c r="O306" s="1216"/>
      <c r="P306" s="1196"/>
      <c r="Q306" s="1196"/>
      <c r="R306" s="1196"/>
    </row>
    <row r="307" spans="2:18" s="1209" customFormat="1" x14ac:dyDescent="0.2">
      <c r="B307" s="1311"/>
      <c r="C307" s="1578"/>
      <c r="D307" s="1580" t="s">
        <v>987</v>
      </c>
      <c r="E307" s="1591"/>
      <c r="F307" s="1568" t="s">
        <v>1245</v>
      </c>
      <c r="G307" s="1568" t="s">
        <v>1245</v>
      </c>
      <c r="H307" s="1569" t="s">
        <v>644</v>
      </c>
      <c r="I307" s="1569" t="s">
        <v>641</v>
      </c>
      <c r="J307" s="1570" t="s">
        <v>510</v>
      </c>
      <c r="L307" s="1207"/>
      <c r="M307" s="1216"/>
      <c r="N307" s="1216"/>
      <c r="O307" s="1216"/>
      <c r="P307" s="1207"/>
      <c r="Q307" s="1207"/>
      <c r="R307" s="1207"/>
    </row>
    <row r="308" spans="2:18" s="1209" customFormat="1" x14ac:dyDescent="0.2">
      <c r="B308" s="1199"/>
      <c r="C308" s="1200"/>
      <c r="D308" s="1368" t="s">
        <v>827</v>
      </c>
      <c r="E308" s="1368"/>
      <c r="F308" s="1368"/>
      <c r="G308" s="1368"/>
      <c r="H308" s="1320"/>
      <c r="I308" s="1320"/>
      <c r="J308" s="1321"/>
      <c r="L308" s="1207"/>
      <c r="M308" s="1216"/>
      <c r="N308" s="1216"/>
      <c r="O308" s="1216"/>
      <c r="P308" s="1207"/>
      <c r="Q308" s="1207"/>
      <c r="R308" s="1207"/>
    </row>
    <row r="309" spans="2:18" s="1217" customFormat="1" ht="16.5" customHeight="1" x14ac:dyDescent="0.2">
      <c r="B309" s="1598" t="s">
        <v>981</v>
      </c>
      <c r="C309" s="1593"/>
      <c r="D309" s="1594"/>
      <c r="E309" s="1595"/>
      <c r="F309" s="1595"/>
      <c r="G309" s="1595"/>
      <c r="H309" s="1594"/>
      <c r="I309" s="1594"/>
      <c r="J309" s="1596"/>
      <c r="L309" s="1216"/>
      <c r="M309" s="1216"/>
      <c r="N309" s="1216"/>
      <c r="O309" s="1216"/>
      <c r="P309" s="1216"/>
      <c r="Q309" s="1216"/>
      <c r="R309" s="1216"/>
    </row>
    <row r="310" spans="2:18" s="1217" customFormat="1" x14ac:dyDescent="0.2">
      <c r="B310" s="1424" t="s">
        <v>743</v>
      </c>
      <c r="C310" s="1520"/>
      <c r="D310" s="1474"/>
      <c r="E310" s="1558"/>
      <c r="F310" s="2033"/>
      <c r="G310" s="2033"/>
      <c r="H310" s="1541">
        <f>IF(D310="ในประเทศ",100,IF(D310="นานาชาติ",200,0))</f>
        <v>0</v>
      </c>
      <c r="I310" s="1426">
        <f>IF(OR(E310="",E310=0),0,H310/E310)</f>
        <v>0</v>
      </c>
      <c r="J310" s="1390">
        <f t="shared" ref="J310:J319" si="53">I310/15</f>
        <v>0</v>
      </c>
      <c r="L310" s="1216"/>
      <c r="M310" s="1216">
        <f t="shared" si="47"/>
        <v>0</v>
      </c>
      <c r="N310" s="1216">
        <f t="shared" si="48"/>
        <v>0</v>
      </c>
      <c r="O310" s="1216">
        <f t="shared" si="49"/>
        <v>0</v>
      </c>
      <c r="P310" s="1216"/>
      <c r="Q310" s="1216"/>
      <c r="R310" s="1216"/>
    </row>
    <row r="311" spans="2:18" s="1217" customFormat="1" x14ac:dyDescent="0.2">
      <c r="B311" s="1424" t="s">
        <v>744</v>
      </c>
      <c r="C311" s="1520"/>
      <c r="D311" s="1474"/>
      <c r="E311" s="1558"/>
      <c r="F311" s="2033"/>
      <c r="G311" s="2033"/>
      <c r="H311" s="1541">
        <f t="shared" ref="H311:H319" si="54">IF(D311="ในประเทศ",100,IF(D311="นานาชาติ",200,0))</f>
        <v>0</v>
      </c>
      <c r="I311" s="1426">
        <f t="shared" ref="I311:I319" si="55">IF(OR(E311="",E311=0),0,H311/E311)</f>
        <v>0</v>
      </c>
      <c r="J311" s="1390">
        <f t="shared" si="53"/>
        <v>0</v>
      </c>
      <c r="L311" s="1216"/>
      <c r="M311" s="1216">
        <f t="shared" si="47"/>
        <v>0</v>
      </c>
      <c r="N311" s="1216">
        <f t="shared" si="48"/>
        <v>0</v>
      </c>
      <c r="O311" s="1216">
        <f t="shared" si="49"/>
        <v>0</v>
      </c>
      <c r="P311" s="1216"/>
      <c r="Q311" s="1216"/>
      <c r="R311" s="1216"/>
    </row>
    <row r="312" spans="2:18" s="1217" customFormat="1" x14ac:dyDescent="0.2">
      <c r="B312" s="1424" t="s">
        <v>745</v>
      </c>
      <c r="C312" s="1520"/>
      <c r="D312" s="1474"/>
      <c r="E312" s="1558"/>
      <c r="F312" s="2033"/>
      <c r="G312" s="2033"/>
      <c r="H312" s="1541">
        <f t="shared" si="54"/>
        <v>0</v>
      </c>
      <c r="I312" s="1426">
        <f t="shared" si="55"/>
        <v>0</v>
      </c>
      <c r="J312" s="1390">
        <f t="shared" si="53"/>
        <v>0</v>
      </c>
      <c r="L312" s="1216"/>
      <c r="M312" s="1216">
        <f t="shared" si="47"/>
        <v>0</v>
      </c>
      <c r="N312" s="1216">
        <f t="shared" si="48"/>
        <v>0</v>
      </c>
      <c r="O312" s="1216">
        <f t="shared" si="49"/>
        <v>0</v>
      </c>
      <c r="P312" s="1216"/>
      <c r="Q312" s="1216"/>
      <c r="R312" s="1216"/>
    </row>
    <row r="313" spans="2:18" s="1217" customFormat="1" x14ac:dyDescent="0.2">
      <c r="B313" s="1424" t="s">
        <v>746</v>
      </c>
      <c r="C313" s="1520"/>
      <c r="D313" s="1474"/>
      <c r="E313" s="1558"/>
      <c r="F313" s="2033"/>
      <c r="G313" s="2033"/>
      <c r="H313" s="1541">
        <f t="shared" si="54"/>
        <v>0</v>
      </c>
      <c r="I313" s="1426">
        <f t="shared" si="55"/>
        <v>0</v>
      </c>
      <c r="J313" s="1390">
        <f t="shared" si="53"/>
        <v>0</v>
      </c>
      <c r="L313" s="1216"/>
      <c r="M313" s="1216">
        <f t="shared" si="47"/>
        <v>0</v>
      </c>
      <c r="N313" s="1216">
        <f t="shared" si="48"/>
        <v>0</v>
      </c>
      <c r="O313" s="1216">
        <f t="shared" si="49"/>
        <v>0</v>
      </c>
      <c r="P313" s="1216"/>
      <c r="Q313" s="1216"/>
      <c r="R313" s="1216"/>
    </row>
    <row r="314" spans="2:18" s="1217" customFormat="1" x14ac:dyDescent="0.2">
      <c r="B314" s="1424" t="s">
        <v>747</v>
      </c>
      <c r="C314" s="1520"/>
      <c r="D314" s="1474"/>
      <c r="E314" s="1558"/>
      <c r="F314" s="2033"/>
      <c r="G314" s="2033"/>
      <c r="H314" s="1541">
        <f t="shared" si="54"/>
        <v>0</v>
      </c>
      <c r="I314" s="1426">
        <f t="shared" si="55"/>
        <v>0</v>
      </c>
      <c r="J314" s="1390">
        <f t="shared" si="53"/>
        <v>0</v>
      </c>
      <c r="L314" s="1216"/>
      <c r="M314" s="1216">
        <f t="shared" si="47"/>
        <v>0</v>
      </c>
      <c r="N314" s="1216">
        <f t="shared" si="48"/>
        <v>0</v>
      </c>
      <c r="O314" s="1216">
        <f t="shared" si="49"/>
        <v>0</v>
      </c>
      <c r="P314" s="1216"/>
      <c r="Q314" s="1216"/>
      <c r="R314" s="1216"/>
    </row>
    <row r="315" spans="2:18" s="1217" customFormat="1" x14ac:dyDescent="0.2">
      <c r="B315" s="1424" t="s">
        <v>748</v>
      </c>
      <c r="C315" s="1520"/>
      <c r="D315" s="1474"/>
      <c r="E315" s="1558"/>
      <c r="F315" s="2033"/>
      <c r="G315" s="2033"/>
      <c r="H315" s="1541">
        <f t="shared" si="54"/>
        <v>0</v>
      </c>
      <c r="I315" s="1426">
        <f t="shared" si="55"/>
        <v>0</v>
      </c>
      <c r="J315" s="1390">
        <f t="shared" si="53"/>
        <v>0</v>
      </c>
      <c r="L315" s="1216"/>
      <c r="M315" s="1216">
        <f t="shared" si="47"/>
        <v>0</v>
      </c>
      <c r="N315" s="1216">
        <f t="shared" si="48"/>
        <v>0</v>
      </c>
      <c r="O315" s="1216">
        <f t="shared" si="49"/>
        <v>0</v>
      </c>
      <c r="P315" s="1216"/>
      <c r="Q315" s="1216"/>
      <c r="R315" s="1216"/>
    </row>
    <row r="316" spans="2:18" s="1217" customFormat="1" x14ac:dyDescent="0.2">
      <c r="B316" s="1424" t="s">
        <v>749</v>
      </c>
      <c r="C316" s="1520"/>
      <c r="D316" s="1474"/>
      <c r="E316" s="1558"/>
      <c r="F316" s="2033"/>
      <c r="G316" s="2033"/>
      <c r="H316" s="1541">
        <f t="shared" si="54"/>
        <v>0</v>
      </c>
      <c r="I316" s="1426">
        <f t="shared" si="55"/>
        <v>0</v>
      </c>
      <c r="J316" s="1390">
        <f t="shared" si="53"/>
        <v>0</v>
      </c>
      <c r="L316" s="1216"/>
      <c r="M316" s="1216">
        <f t="shared" si="47"/>
        <v>0</v>
      </c>
      <c r="N316" s="1216">
        <f t="shared" si="48"/>
        <v>0</v>
      </c>
      <c r="O316" s="1216">
        <f t="shared" si="49"/>
        <v>0</v>
      </c>
      <c r="P316" s="1216"/>
      <c r="Q316" s="1216"/>
      <c r="R316" s="1216"/>
    </row>
    <row r="317" spans="2:18" s="1217" customFormat="1" x14ac:dyDescent="0.2">
      <c r="B317" s="1424" t="s">
        <v>750</v>
      </c>
      <c r="C317" s="1520"/>
      <c r="D317" s="1474"/>
      <c r="E317" s="1558"/>
      <c r="F317" s="2033"/>
      <c r="G317" s="2033"/>
      <c r="H317" s="1541">
        <f t="shared" si="54"/>
        <v>0</v>
      </c>
      <c r="I317" s="1426">
        <f t="shared" si="55"/>
        <v>0</v>
      </c>
      <c r="J317" s="1390">
        <f t="shared" si="53"/>
        <v>0</v>
      </c>
      <c r="L317" s="1216"/>
      <c r="M317" s="1216">
        <f t="shared" si="47"/>
        <v>0</v>
      </c>
      <c r="N317" s="1216">
        <f t="shared" si="48"/>
        <v>0</v>
      </c>
      <c r="O317" s="1216">
        <f t="shared" si="49"/>
        <v>0</v>
      </c>
      <c r="P317" s="1216"/>
      <c r="Q317" s="1216"/>
      <c r="R317" s="1216"/>
    </row>
    <row r="318" spans="2:18" s="1217" customFormat="1" x14ac:dyDescent="0.2">
      <c r="B318" s="1424" t="s">
        <v>925</v>
      </c>
      <c r="C318" s="1520"/>
      <c r="D318" s="1474"/>
      <c r="E318" s="1558"/>
      <c r="F318" s="2033"/>
      <c r="G318" s="2033"/>
      <c r="H318" s="1541">
        <f t="shared" si="54"/>
        <v>0</v>
      </c>
      <c r="I318" s="1426">
        <f t="shared" si="55"/>
        <v>0</v>
      </c>
      <c r="J318" s="1390">
        <f t="shared" si="53"/>
        <v>0</v>
      </c>
      <c r="L318" s="1216"/>
      <c r="M318" s="1216">
        <f t="shared" si="47"/>
        <v>0</v>
      </c>
      <c r="N318" s="1216">
        <f t="shared" si="48"/>
        <v>0</v>
      </c>
      <c r="O318" s="1216">
        <f t="shared" si="49"/>
        <v>0</v>
      </c>
      <c r="P318" s="1216"/>
      <c r="Q318" s="1216"/>
      <c r="R318" s="1216"/>
    </row>
    <row r="319" spans="2:18" s="1217" customFormat="1" x14ac:dyDescent="0.2">
      <c r="B319" s="1424" t="s">
        <v>926</v>
      </c>
      <c r="C319" s="1520"/>
      <c r="D319" s="1474"/>
      <c r="E319" s="1558"/>
      <c r="F319" s="2033"/>
      <c r="G319" s="2033"/>
      <c r="H319" s="1541">
        <f t="shared" si="54"/>
        <v>0</v>
      </c>
      <c r="I319" s="1426">
        <f t="shared" si="55"/>
        <v>0</v>
      </c>
      <c r="J319" s="1390">
        <f t="shared" si="53"/>
        <v>0</v>
      </c>
      <c r="L319" s="1216"/>
      <c r="M319" s="1216">
        <f t="shared" si="47"/>
        <v>0</v>
      </c>
      <c r="N319" s="1216">
        <f t="shared" si="48"/>
        <v>0</v>
      </c>
      <c r="O319" s="1216">
        <f t="shared" si="49"/>
        <v>0</v>
      </c>
      <c r="P319" s="1216"/>
      <c r="Q319" s="1216"/>
      <c r="R319" s="1216"/>
    </row>
    <row r="320" spans="2:18" s="1217" customFormat="1" x14ac:dyDescent="0.2">
      <c r="B320" s="1542"/>
      <c r="C320" s="1328"/>
      <c r="D320" s="1328"/>
      <c r="E320" s="1543"/>
      <c r="F320" s="1544"/>
      <c r="G320" s="1545">
        <f>SUM(O310:O319)</f>
        <v>0</v>
      </c>
      <c r="H320" s="1329" t="s">
        <v>456</v>
      </c>
      <c r="I320" s="1238">
        <f>SUM(I310:I319)</f>
        <v>0</v>
      </c>
      <c r="J320" s="1239">
        <f>SUM(J310:J319)</f>
        <v>0</v>
      </c>
      <c r="L320" s="1216"/>
      <c r="M320" s="1216"/>
      <c r="N320" s="1216"/>
      <c r="O320" s="1216"/>
      <c r="P320" s="1216"/>
      <c r="Q320" s="1216"/>
      <c r="R320" s="1216"/>
    </row>
    <row r="321" spans="2:18" s="1198" customFormat="1" x14ac:dyDescent="0.2">
      <c r="B321" s="1271"/>
      <c r="C321" s="1521" t="s">
        <v>687</v>
      </c>
      <c r="D321" s="1272" t="s">
        <v>978</v>
      </c>
      <c r="E321" s="1471" t="s">
        <v>759</v>
      </c>
      <c r="F321" s="1272" t="s">
        <v>923</v>
      </c>
      <c r="G321" s="1272" t="s">
        <v>1010</v>
      </c>
      <c r="H321" s="1536" t="s">
        <v>638</v>
      </c>
      <c r="I321" s="1537" t="s">
        <v>639</v>
      </c>
      <c r="J321" s="1538" t="s">
        <v>639</v>
      </c>
      <c r="L321" s="1196"/>
      <c r="M321" s="1216"/>
      <c r="N321" s="1216"/>
      <c r="O321" s="1216"/>
      <c r="P321" s="1196"/>
      <c r="Q321" s="1196"/>
      <c r="R321" s="1196"/>
    </row>
    <row r="322" spans="2:18" s="1209" customFormat="1" x14ac:dyDescent="0.2">
      <c r="B322" s="1311"/>
      <c r="C322" s="1578"/>
      <c r="D322" s="1194" t="s">
        <v>987</v>
      </c>
      <c r="E322" s="1194" t="s">
        <v>924</v>
      </c>
      <c r="F322" s="1568" t="s">
        <v>1245</v>
      </c>
      <c r="G322" s="1568" t="s">
        <v>1245</v>
      </c>
      <c r="H322" s="1569" t="s">
        <v>644</v>
      </c>
      <c r="I322" s="1569" t="s">
        <v>641</v>
      </c>
      <c r="J322" s="1570" t="s">
        <v>510</v>
      </c>
      <c r="L322" s="1207"/>
      <c r="M322" s="1216"/>
      <c r="N322" s="1216"/>
      <c r="O322" s="1216"/>
      <c r="P322" s="1207"/>
      <c r="Q322" s="1207"/>
      <c r="R322" s="1207"/>
    </row>
    <row r="323" spans="2:18" s="1209" customFormat="1" x14ac:dyDescent="0.2">
      <c r="B323" s="1199"/>
      <c r="C323" s="1200"/>
      <c r="D323" s="1368" t="s">
        <v>827</v>
      </c>
      <c r="E323" s="1368"/>
      <c r="F323" s="1368"/>
      <c r="G323" s="1368"/>
      <c r="H323" s="1320"/>
      <c r="I323" s="1320"/>
      <c r="J323" s="1321"/>
      <c r="L323" s="1207"/>
      <c r="M323" s="1216"/>
      <c r="N323" s="1216"/>
      <c r="O323" s="1216"/>
      <c r="P323" s="1207"/>
      <c r="Q323" s="1207"/>
      <c r="R323" s="1207"/>
    </row>
    <row r="324" spans="2:18" s="1217" customFormat="1" ht="15.75" customHeight="1" x14ac:dyDescent="0.2">
      <c r="B324" s="1598" t="s">
        <v>984</v>
      </c>
      <c r="C324" s="1593"/>
      <c r="D324" s="1599"/>
      <c r="E324" s="1599"/>
      <c r="F324" s="1599"/>
      <c r="G324" s="1599"/>
      <c r="H324" s="1594"/>
      <c r="I324" s="1594"/>
      <c r="J324" s="1596"/>
      <c r="L324" s="1216"/>
      <c r="M324" s="1216"/>
      <c r="N324" s="1216"/>
      <c r="O324" s="1216"/>
      <c r="P324" s="1216"/>
      <c r="Q324" s="1216"/>
      <c r="R324" s="1216"/>
    </row>
    <row r="325" spans="2:18" s="1217" customFormat="1" x14ac:dyDescent="0.2">
      <c r="B325" s="1424" t="s">
        <v>743</v>
      </c>
      <c r="C325" s="1520"/>
      <c r="D325" s="1474"/>
      <c r="E325" s="1558"/>
      <c r="F325" s="2033"/>
      <c r="G325" s="2033"/>
      <c r="H325" s="1541">
        <f>IF(OR(D325="ในประเทศ",D325="นานาชาติ"),1,0)</f>
        <v>0</v>
      </c>
      <c r="I325" s="1426">
        <f>H325*E325</f>
        <v>0</v>
      </c>
      <c r="J325" s="1390">
        <f t="shared" ref="J325:J334" si="56">I325/15</f>
        <v>0</v>
      </c>
      <c r="L325" s="1216"/>
      <c r="M325" s="1216">
        <f>IF(F325&lt;&gt;"",IF(F325&lt;$M$12,0,1),0)</f>
        <v>0</v>
      </c>
      <c r="N325" s="1216">
        <f>IF(G325&lt;&gt;"",IF(G325&gt;$N$12,1,IF(G325&gt;=$M$12,1,0)),0)</f>
        <v>0</v>
      </c>
      <c r="O325" s="1216">
        <f>IF(OR(M325=1,N325=1),1,0)</f>
        <v>0</v>
      </c>
      <c r="P325" s="1216"/>
      <c r="Q325" s="1216"/>
      <c r="R325" s="1216"/>
    </row>
    <row r="326" spans="2:18" s="1217" customFormat="1" x14ac:dyDescent="0.2">
      <c r="B326" s="1424" t="s">
        <v>744</v>
      </c>
      <c r="C326" s="1520"/>
      <c r="D326" s="1474"/>
      <c r="E326" s="1558"/>
      <c r="F326" s="2033"/>
      <c r="G326" s="2033"/>
      <c r="H326" s="1541">
        <f t="shared" ref="H326:H334" si="57">IF(OR(D326="ในประเทศ",D326="นานาชาติ"),1,0)</f>
        <v>0</v>
      </c>
      <c r="I326" s="1426">
        <f t="shared" ref="I326:I334" si="58">H326*E326</f>
        <v>0</v>
      </c>
      <c r="J326" s="1390">
        <f t="shared" si="56"/>
        <v>0</v>
      </c>
      <c r="L326" s="1216"/>
      <c r="M326" s="1216">
        <f t="shared" si="47"/>
        <v>0</v>
      </c>
      <c r="N326" s="1216">
        <f t="shared" si="48"/>
        <v>0</v>
      </c>
      <c r="O326" s="1216">
        <f t="shared" si="49"/>
        <v>0</v>
      </c>
      <c r="P326" s="1216"/>
      <c r="Q326" s="1216"/>
      <c r="R326" s="1216"/>
    </row>
    <row r="327" spans="2:18" s="1217" customFormat="1" x14ac:dyDescent="0.2">
      <c r="B327" s="1424" t="s">
        <v>745</v>
      </c>
      <c r="C327" s="1520"/>
      <c r="D327" s="1474"/>
      <c r="E327" s="1558"/>
      <c r="F327" s="2033"/>
      <c r="G327" s="2033"/>
      <c r="H327" s="1541">
        <f t="shared" si="57"/>
        <v>0</v>
      </c>
      <c r="I327" s="1426">
        <f t="shared" si="58"/>
        <v>0</v>
      </c>
      <c r="J327" s="1390">
        <f t="shared" si="56"/>
        <v>0</v>
      </c>
      <c r="L327" s="1216"/>
      <c r="M327" s="1216">
        <f t="shared" si="47"/>
        <v>0</v>
      </c>
      <c r="N327" s="1216">
        <f t="shared" si="48"/>
        <v>0</v>
      </c>
      <c r="O327" s="1216">
        <f t="shared" si="49"/>
        <v>0</v>
      </c>
      <c r="P327" s="1216"/>
      <c r="Q327" s="1216"/>
      <c r="R327" s="1216"/>
    </row>
    <row r="328" spans="2:18" s="1217" customFormat="1" x14ac:dyDescent="0.2">
      <c r="B328" s="1424" t="s">
        <v>746</v>
      </c>
      <c r="C328" s="1520"/>
      <c r="D328" s="1474"/>
      <c r="E328" s="1558"/>
      <c r="F328" s="2033"/>
      <c r="G328" s="2033"/>
      <c r="H328" s="1541">
        <f t="shared" si="57"/>
        <v>0</v>
      </c>
      <c r="I328" s="1426">
        <f t="shared" si="58"/>
        <v>0</v>
      </c>
      <c r="J328" s="1390">
        <f t="shared" si="56"/>
        <v>0</v>
      </c>
      <c r="L328" s="1216"/>
      <c r="M328" s="1216">
        <f t="shared" si="47"/>
        <v>0</v>
      </c>
      <c r="N328" s="1216">
        <f t="shared" si="48"/>
        <v>0</v>
      </c>
      <c r="O328" s="1216">
        <f t="shared" si="49"/>
        <v>0</v>
      </c>
      <c r="P328" s="1216"/>
      <c r="Q328" s="1216"/>
      <c r="R328" s="1216"/>
    </row>
    <row r="329" spans="2:18" s="1217" customFormat="1" x14ac:dyDescent="0.2">
      <c r="B329" s="1424" t="s">
        <v>747</v>
      </c>
      <c r="C329" s="1520"/>
      <c r="D329" s="1474"/>
      <c r="E329" s="1558"/>
      <c r="F329" s="2033"/>
      <c r="G329" s="2033"/>
      <c r="H329" s="1541">
        <f t="shared" si="57"/>
        <v>0</v>
      </c>
      <c r="I329" s="1426">
        <f t="shared" si="58"/>
        <v>0</v>
      </c>
      <c r="J329" s="1390">
        <f t="shared" si="56"/>
        <v>0</v>
      </c>
      <c r="L329" s="1216"/>
      <c r="M329" s="1216">
        <f t="shared" si="47"/>
        <v>0</v>
      </c>
      <c r="N329" s="1216">
        <f t="shared" si="48"/>
        <v>0</v>
      </c>
      <c r="O329" s="1216">
        <f t="shared" si="49"/>
        <v>0</v>
      </c>
      <c r="P329" s="1216"/>
      <c r="Q329" s="1216"/>
      <c r="R329" s="1216"/>
    </row>
    <row r="330" spans="2:18" s="1217" customFormat="1" x14ac:dyDescent="0.2">
      <c r="B330" s="1424" t="s">
        <v>748</v>
      </c>
      <c r="C330" s="1520"/>
      <c r="D330" s="1474"/>
      <c r="E330" s="1558"/>
      <c r="F330" s="2033"/>
      <c r="G330" s="2033"/>
      <c r="H330" s="1541">
        <f t="shared" si="57"/>
        <v>0</v>
      </c>
      <c r="I330" s="1426">
        <f t="shared" si="58"/>
        <v>0</v>
      </c>
      <c r="J330" s="1390">
        <f t="shared" si="56"/>
        <v>0</v>
      </c>
      <c r="L330" s="1216"/>
      <c r="M330" s="1216">
        <f t="shared" si="47"/>
        <v>0</v>
      </c>
      <c r="N330" s="1216">
        <f t="shared" si="48"/>
        <v>0</v>
      </c>
      <c r="O330" s="1216">
        <f t="shared" si="49"/>
        <v>0</v>
      </c>
      <c r="P330" s="1216"/>
      <c r="Q330" s="1216"/>
      <c r="R330" s="1216"/>
    </row>
    <row r="331" spans="2:18" s="1217" customFormat="1" x14ac:dyDescent="0.2">
      <c r="B331" s="1424" t="s">
        <v>749</v>
      </c>
      <c r="C331" s="1520"/>
      <c r="D331" s="1474"/>
      <c r="E331" s="1558"/>
      <c r="F331" s="2033"/>
      <c r="G331" s="2033"/>
      <c r="H331" s="1541">
        <f t="shared" si="57"/>
        <v>0</v>
      </c>
      <c r="I331" s="1426">
        <f t="shared" si="58"/>
        <v>0</v>
      </c>
      <c r="J331" s="1390">
        <f t="shared" si="56"/>
        <v>0</v>
      </c>
      <c r="L331" s="1216"/>
      <c r="M331" s="1216">
        <f t="shared" si="47"/>
        <v>0</v>
      </c>
      <c r="N331" s="1216">
        <f t="shared" si="48"/>
        <v>0</v>
      </c>
      <c r="O331" s="1216">
        <f t="shared" si="49"/>
        <v>0</v>
      </c>
      <c r="P331" s="1216"/>
      <c r="Q331" s="1216"/>
      <c r="R331" s="1216"/>
    </row>
    <row r="332" spans="2:18" s="1217" customFormat="1" x14ac:dyDescent="0.2">
      <c r="B332" s="1424" t="s">
        <v>750</v>
      </c>
      <c r="C332" s="1520"/>
      <c r="D332" s="1474"/>
      <c r="E332" s="1558"/>
      <c r="F332" s="2033"/>
      <c r="G332" s="2033"/>
      <c r="H332" s="1541">
        <f t="shared" si="57"/>
        <v>0</v>
      </c>
      <c r="I332" s="1426">
        <f t="shared" si="58"/>
        <v>0</v>
      </c>
      <c r="J332" s="1390">
        <f t="shared" si="56"/>
        <v>0</v>
      </c>
      <c r="L332" s="1216"/>
      <c r="M332" s="1216">
        <f t="shared" si="47"/>
        <v>0</v>
      </c>
      <c r="N332" s="1216">
        <f t="shared" si="48"/>
        <v>0</v>
      </c>
      <c r="O332" s="1216">
        <f t="shared" si="49"/>
        <v>0</v>
      </c>
      <c r="P332" s="1216"/>
      <c r="Q332" s="1216"/>
      <c r="R332" s="1216"/>
    </row>
    <row r="333" spans="2:18" s="1217" customFormat="1" x14ac:dyDescent="0.2">
      <c r="B333" s="1424" t="s">
        <v>925</v>
      </c>
      <c r="C333" s="1520"/>
      <c r="D333" s="1474"/>
      <c r="E333" s="1558"/>
      <c r="F333" s="2033"/>
      <c r="G333" s="2033"/>
      <c r="H333" s="1541">
        <f t="shared" si="57"/>
        <v>0</v>
      </c>
      <c r="I333" s="1426">
        <f t="shared" si="58"/>
        <v>0</v>
      </c>
      <c r="J333" s="1390">
        <f t="shared" si="56"/>
        <v>0</v>
      </c>
      <c r="L333" s="1216"/>
      <c r="M333" s="1216">
        <f t="shared" si="47"/>
        <v>0</v>
      </c>
      <c r="N333" s="1216">
        <f t="shared" si="48"/>
        <v>0</v>
      </c>
      <c r="O333" s="1216">
        <f t="shared" si="49"/>
        <v>0</v>
      </c>
      <c r="P333" s="1216"/>
      <c r="Q333" s="1216"/>
      <c r="R333" s="1216"/>
    </row>
    <row r="334" spans="2:18" s="1217" customFormat="1" x14ac:dyDescent="0.2">
      <c r="B334" s="1424" t="s">
        <v>926</v>
      </c>
      <c r="C334" s="1520"/>
      <c r="D334" s="1474"/>
      <c r="E334" s="1558"/>
      <c r="F334" s="2033"/>
      <c r="G334" s="2033"/>
      <c r="H334" s="1541">
        <f t="shared" si="57"/>
        <v>0</v>
      </c>
      <c r="I334" s="1426">
        <f t="shared" si="58"/>
        <v>0</v>
      </c>
      <c r="J334" s="1390">
        <f t="shared" si="56"/>
        <v>0</v>
      </c>
      <c r="L334" s="1216"/>
      <c r="M334" s="1216">
        <f t="shared" si="47"/>
        <v>0</v>
      </c>
      <c r="N334" s="1216">
        <f t="shared" si="48"/>
        <v>0</v>
      </c>
      <c r="O334" s="1216">
        <f t="shared" si="49"/>
        <v>0</v>
      </c>
      <c r="P334" s="1216"/>
      <c r="Q334" s="1216"/>
      <c r="R334" s="1216"/>
    </row>
    <row r="335" spans="2:18" s="1217" customFormat="1" x14ac:dyDescent="0.2">
      <c r="B335" s="1542"/>
      <c r="C335" s="1328"/>
      <c r="D335" s="1328"/>
      <c r="E335" s="1543"/>
      <c r="F335" s="1544"/>
      <c r="G335" s="1545">
        <f>SUM(O325:O334)</f>
        <v>0</v>
      </c>
      <c r="H335" s="1329" t="s">
        <v>456</v>
      </c>
      <c r="I335" s="1282">
        <f>SUM(I325:I334)</f>
        <v>0</v>
      </c>
      <c r="J335" s="1283">
        <f>SUM(J325:J334)</f>
        <v>0</v>
      </c>
      <c r="L335" s="1216"/>
      <c r="M335" s="1216"/>
      <c r="N335" s="1216"/>
      <c r="O335" s="1216"/>
      <c r="P335" s="1216"/>
      <c r="Q335" s="1216"/>
      <c r="R335" s="1216"/>
    </row>
    <row r="336" spans="2:18" s="1217" customFormat="1" ht="21" customHeight="1" x14ac:dyDescent="0.2">
      <c r="B336" s="1582"/>
      <c r="C336" s="1583"/>
      <c r="D336" s="1583"/>
      <c r="E336" s="1583"/>
      <c r="F336" s="1583"/>
      <c r="G336" s="1583"/>
      <c r="H336" s="1600" t="s">
        <v>988</v>
      </c>
      <c r="I336" s="1601">
        <f>I320+I335</f>
        <v>0</v>
      </c>
      <c r="J336" s="1597">
        <f>J320+J335</f>
        <v>0</v>
      </c>
      <c r="L336" s="1216"/>
      <c r="M336" s="1216"/>
      <c r="N336" s="1216"/>
      <c r="O336" s="1216"/>
      <c r="P336" s="1216"/>
      <c r="Q336" s="1216"/>
      <c r="R336" s="1216"/>
    </row>
    <row r="337" spans="2:18" s="1304" customFormat="1" ht="18" customHeight="1" x14ac:dyDescent="0.2">
      <c r="B337" s="1502"/>
      <c r="C337" s="1564"/>
      <c r="D337" s="1564"/>
      <c r="E337" s="1564"/>
      <c r="F337" s="1502"/>
      <c r="G337" s="1502"/>
      <c r="H337" s="1564"/>
      <c r="I337" s="1565"/>
      <c r="J337" s="1565"/>
      <c r="L337" s="1302"/>
      <c r="M337" s="1216"/>
      <c r="N337" s="1302"/>
      <c r="O337" s="1302"/>
      <c r="P337" s="1302"/>
      <c r="Q337" s="1302"/>
      <c r="R337" s="1302"/>
    </row>
    <row r="338" spans="2:18" s="1144" customFormat="1" ht="21" customHeight="1" x14ac:dyDescent="0.25">
      <c r="B338" s="1172" t="s">
        <v>989</v>
      </c>
      <c r="C338" s="1534"/>
      <c r="D338" s="1534"/>
      <c r="E338" s="1174"/>
      <c r="F338" s="1176"/>
      <c r="G338" s="1176"/>
      <c r="H338" s="1176"/>
      <c r="I338" s="1176"/>
      <c r="J338" s="1535"/>
      <c r="L338" s="1147"/>
      <c r="M338" s="1216"/>
      <c r="N338" s="1147"/>
      <c r="O338" s="1147"/>
      <c r="P338" s="1147"/>
      <c r="Q338" s="1147"/>
      <c r="R338" s="1147"/>
    </row>
    <row r="339" spans="2:18" s="1198" customFormat="1" x14ac:dyDescent="0.2">
      <c r="B339" s="1271"/>
      <c r="C339" s="3052" t="s">
        <v>961</v>
      </c>
      <c r="D339" s="3053"/>
      <c r="E339" s="3054"/>
      <c r="F339" s="1471" t="s">
        <v>449</v>
      </c>
      <c r="G339" s="1272" t="s">
        <v>928</v>
      </c>
      <c r="H339" s="1536" t="s">
        <v>638</v>
      </c>
      <c r="I339" s="1537" t="s">
        <v>639</v>
      </c>
      <c r="J339" s="1538" t="s">
        <v>639</v>
      </c>
      <c r="L339" s="1196"/>
      <c r="M339" s="1216"/>
      <c r="N339" s="1196"/>
      <c r="O339" s="1196"/>
      <c r="P339" s="1196"/>
      <c r="Q339" s="1196"/>
      <c r="R339" s="1196"/>
    </row>
    <row r="340" spans="2:18" s="1209" customFormat="1" x14ac:dyDescent="0.2">
      <c r="B340" s="1199"/>
      <c r="C340" s="3091"/>
      <c r="D340" s="3115"/>
      <c r="E340" s="3092"/>
      <c r="F340" s="1201" t="s">
        <v>990</v>
      </c>
      <c r="G340" s="1568" t="s">
        <v>1245</v>
      </c>
      <c r="H340" s="1569" t="s">
        <v>644</v>
      </c>
      <c r="I340" s="1320" t="s">
        <v>641</v>
      </c>
      <c r="J340" s="1321" t="s">
        <v>510</v>
      </c>
      <c r="L340" s="1207"/>
      <c r="M340" s="1216"/>
      <c r="N340" s="1207"/>
      <c r="O340" s="1207"/>
      <c r="P340" s="1207"/>
      <c r="Q340" s="1207"/>
      <c r="R340" s="1207"/>
    </row>
    <row r="341" spans="2:18" s="1217" customFormat="1" x14ac:dyDescent="0.2">
      <c r="B341" s="1424" t="s">
        <v>743</v>
      </c>
      <c r="C341" s="3040"/>
      <c r="D341" s="3058"/>
      <c r="E341" s="3041"/>
      <c r="F341" s="1558"/>
      <c r="G341" s="2033"/>
      <c r="H341" s="1541">
        <v>5</v>
      </c>
      <c r="I341" s="1426">
        <f>IF(F341=0,0,IF(F341&gt;=1,5))</f>
        <v>0</v>
      </c>
      <c r="J341" s="1390">
        <f>I341/15</f>
        <v>0</v>
      </c>
      <c r="L341" s="1216"/>
      <c r="M341" s="1216">
        <f>IF(G341&lt;&gt;"",IF(AND(G341&gt;=$M$12,G341&lt;=$N$12),1,0),0)</f>
        <v>0</v>
      </c>
      <c r="N341" s="1216"/>
      <c r="O341" s="1216"/>
      <c r="P341" s="1216"/>
      <c r="Q341" s="1216"/>
      <c r="R341" s="1216"/>
    </row>
    <row r="342" spans="2:18" s="1217" customFormat="1" x14ac:dyDescent="0.2">
      <c r="B342" s="1424" t="s">
        <v>744</v>
      </c>
      <c r="C342" s="3040"/>
      <c r="D342" s="3058"/>
      <c r="E342" s="3041"/>
      <c r="F342" s="1558"/>
      <c r="G342" s="2033"/>
      <c r="H342" s="1541">
        <v>5</v>
      </c>
      <c r="I342" s="1426">
        <f>IF(F342=0,0,IF(F342&gt;=1,5))</f>
        <v>0</v>
      </c>
      <c r="J342" s="1390">
        <f>I342/15</f>
        <v>0</v>
      </c>
      <c r="L342" s="1216"/>
      <c r="M342" s="1216">
        <f>IF(G342&lt;&gt;"",IF(AND(G342&gt;=$M$12,G342&lt;=$N$12),1,0),0)</f>
        <v>0</v>
      </c>
      <c r="N342" s="1216"/>
      <c r="O342" s="1216"/>
      <c r="P342" s="1216"/>
      <c r="Q342" s="1216"/>
      <c r="R342" s="1216"/>
    </row>
    <row r="343" spans="2:18" s="1217" customFormat="1" x14ac:dyDescent="0.2">
      <c r="B343" s="1542"/>
      <c r="C343" s="1328"/>
      <c r="D343" s="1328"/>
      <c r="E343" s="1543"/>
      <c r="F343" s="1544"/>
      <c r="G343" s="1545">
        <f>SUM(M341:M342)</f>
        <v>0</v>
      </c>
      <c r="H343" s="1329" t="s">
        <v>456</v>
      </c>
      <c r="I343" s="1282">
        <f>SUM(I341:I342)</f>
        <v>0</v>
      </c>
      <c r="J343" s="1283">
        <f>SUM(J341:J342)</f>
        <v>0</v>
      </c>
      <c r="L343" s="1216"/>
      <c r="M343" s="1216"/>
      <c r="N343" s="1216"/>
      <c r="O343" s="1216"/>
      <c r="P343" s="1216"/>
      <c r="Q343" s="1216"/>
      <c r="R343" s="1216"/>
    </row>
    <row r="344" spans="2:18" s="1304" customFormat="1" ht="12" customHeight="1" x14ac:dyDescent="0.2">
      <c r="B344" s="1298"/>
      <c r="C344" s="1299"/>
      <c r="D344" s="1299"/>
      <c r="E344" s="1299"/>
      <c r="F344" s="1298"/>
      <c r="G344" s="1298"/>
      <c r="H344" s="1299"/>
      <c r="I344" s="1433"/>
      <c r="J344" s="1433"/>
      <c r="L344" s="1302"/>
      <c r="M344" s="1216"/>
      <c r="N344" s="1302"/>
      <c r="O344" s="1302"/>
      <c r="P344" s="1302"/>
      <c r="Q344" s="1302"/>
      <c r="R344" s="1302"/>
    </row>
    <row r="345" spans="2:18" s="1304" customFormat="1" ht="5.25" customHeight="1" x14ac:dyDescent="0.2">
      <c r="B345" s="1434"/>
      <c r="C345" s="1560"/>
      <c r="D345" s="1560"/>
      <c r="E345" s="1560"/>
      <c r="F345" s="1434"/>
      <c r="G345" s="1434"/>
      <c r="H345" s="1560"/>
      <c r="I345" s="1448"/>
      <c r="J345" s="1448"/>
      <c r="L345" s="1302"/>
      <c r="M345" s="1216"/>
      <c r="N345" s="1302"/>
      <c r="O345" s="1302"/>
      <c r="P345" s="1302"/>
      <c r="Q345" s="1302"/>
      <c r="R345" s="1302"/>
    </row>
    <row r="346" spans="2:18" s="1144" customFormat="1" ht="21" customHeight="1" x14ac:dyDescent="0.25">
      <c r="B346" s="1172" t="s">
        <v>991</v>
      </c>
      <c r="C346" s="1534"/>
      <c r="D346" s="1534"/>
      <c r="E346" s="1174"/>
      <c r="F346" s="1176"/>
      <c r="G346" s="1176"/>
      <c r="H346" s="1176"/>
      <c r="I346" s="1176"/>
      <c r="J346" s="1535"/>
      <c r="L346" s="1147"/>
      <c r="M346" s="1216"/>
      <c r="N346" s="1147"/>
      <c r="O346" s="1147"/>
      <c r="P346" s="1147"/>
      <c r="Q346" s="1147"/>
      <c r="R346" s="1147"/>
    </row>
    <row r="347" spans="2:18" s="1198" customFormat="1" x14ac:dyDescent="0.2">
      <c r="B347" s="1271"/>
      <c r="C347" s="3052" t="s">
        <v>992</v>
      </c>
      <c r="D347" s="3053"/>
      <c r="E347" s="3054"/>
      <c r="F347" s="1471" t="s">
        <v>759</v>
      </c>
      <c r="G347" s="1272" t="s">
        <v>928</v>
      </c>
      <c r="H347" s="1536" t="s">
        <v>638</v>
      </c>
      <c r="I347" s="1537" t="s">
        <v>639</v>
      </c>
      <c r="J347" s="1538" t="s">
        <v>639</v>
      </c>
      <c r="L347" s="1196"/>
      <c r="M347" s="1216"/>
      <c r="N347" s="1196"/>
      <c r="O347" s="1196"/>
      <c r="P347" s="1196"/>
      <c r="Q347" s="1196"/>
      <c r="R347" s="1196"/>
    </row>
    <row r="348" spans="2:18" s="1209" customFormat="1" x14ac:dyDescent="0.2">
      <c r="B348" s="1199"/>
      <c r="C348" s="3091"/>
      <c r="D348" s="3115"/>
      <c r="E348" s="3092"/>
      <c r="F348" s="1201" t="s">
        <v>993</v>
      </c>
      <c r="G348" s="1568" t="s">
        <v>1245</v>
      </c>
      <c r="H348" s="1569" t="s">
        <v>644</v>
      </c>
      <c r="I348" s="1320" t="s">
        <v>641</v>
      </c>
      <c r="J348" s="1321" t="s">
        <v>510</v>
      </c>
      <c r="L348" s="1207"/>
      <c r="M348" s="1216"/>
      <c r="N348" s="1207"/>
      <c r="O348" s="1207"/>
      <c r="P348" s="1207"/>
      <c r="Q348" s="1207"/>
      <c r="R348" s="1207"/>
    </row>
    <row r="349" spans="2:18" s="1217" customFormat="1" x14ac:dyDescent="0.2">
      <c r="B349" s="1424" t="s">
        <v>743</v>
      </c>
      <c r="C349" s="3040"/>
      <c r="D349" s="3058"/>
      <c r="E349" s="3041"/>
      <c r="F349" s="1558"/>
      <c r="G349" s="2033"/>
      <c r="H349" s="1541">
        <v>1</v>
      </c>
      <c r="I349" s="1426">
        <f>F349*H349</f>
        <v>0</v>
      </c>
      <c r="J349" s="1390">
        <f>I349/15</f>
        <v>0</v>
      </c>
      <c r="L349" s="1216"/>
      <c r="M349" s="1216">
        <f>IF(G349&lt;&gt;"",IF(AND(G349&gt;=$M$12,G349&lt;=$N$12),1,0),0)</f>
        <v>0</v>
      </c>
      <c r="N349" s="1216"/>
      <c r="O349" s="1216"/>
      <c r="P349" s="1216"/>
      <c r="Q349" s="1216"/>
      <c r="R349" s="1216"/>
    </row>
    <row r="350" spans="2:18" s="1217" customFormat="1" x14ac:dyDescent="0.2">
      <c r="B350" s="1424" t="s">
        <v>744</v>
      </c>
      <c r="C350" s="3040"/>
      <c r="D350" s="3058"/>
      <c r="E350" s="3041"/>
      <c r="F350" s="1558"/>
      <c r="G350" s="2033"/>
      <c r="H350" s="1541">
        <v>1</v>
      </c>
      <c r="I350" s="1426">
        <f>F350*H350</f>
        <v>0</v>
      </c>
      <c r="J350" s="1390">
        <f>I350/15</f>
        <v>0</v>
      </c>
      <c r="L350" s="1216"/>
      <c r="M350" s="1216">
        <f>IF(G350&lt;&gt;"",IF(AND(G350&gt;=$M$12,G350&lt;=$N$12),1,0),0)</f>
        <v>0</v>
      </c>
      <c r="N350" s="1216"/>
      <c r="O350" s="1216"/>
      <c r="P350" s="1216"/>
      <c r="Q350" s="1216"/>
      <c r="R350" s="1216"/>
    </row>
    <row r="351" spans="2:18" s="1217" customFormat="1" x14ac:dyDescent="0.2">
      <c r="B351" s="1424" t="s">
        <v>745</v>
      </c>
      <c r="C351" s="3040"/>
      <c r="D351" s="3058"/>
      <c r="E351" s="3041"/>
      <c r="F351" s="1558"/>
      <c r="G351" s="2033"/>
      <c r="H351" s="1541">
        <v>1</v>
      </c>
      <c r="I351" s="1426">
        <f>F351*H351</f>
        <v>0</v>
      </c>
      <c r="J351" s="1390">
        <f>I351/15</f>
        <v>0</v>
      </c>
      <c r="L351" s="1216"/>
      <c r="M351" s="1216">
        <f>IF(G351&lt;&gt;"",IF(AND(G351&gt;=$M$12,G351&lt;=$N$12),1,0),0)</f>
        <v>0</v>
      </c>
      <c r="N351" s="1216"/>
      <c r="O351" s="1216"/>
      <c r="P351" s="1216"/>
      <c r="Q351" s="1216"/>
      <c r="R351" s="1216"/>
    </row>
    <row r="352" spans="2:18" s="1217" customFormat="1" x14ac:dyDescent="0.2">
      <c r="B352" s="1424" t="s">
        <v>746</v>
      </c>
      <c r="C352" s="3040"/>
      <c r="D352" s="3058"/>
      <c r="E352" s="3041"/>
      <c r="F352" s="1558"/>
      <c r="G352" s="2033"/>
      <c r="H352" s="1541">
        <v>1</v>
      </c>
      <c r="I352" s="1426">
        <f>F352*H352</f>
        <v>0</v>
      </c>
      <c r="J352" s="1390">
        <f>I352/15</f>
        <v>0</v>
      </c>
      <c r="L352" s="1216"/>
      <c r="M352" s="1216">
        <f>IF(G352&lt;&gt;"",IF(AND(G352&gt;=$M$12,G352&lt;=$N$12),1,0),0)</f>
        <v>0</v>
      </c>
      <c r="N352" s="1216"/>
      <c r="O352" s="1216"/>
      <c r="P352" s="1216"/>
      <c r="Q352" s="1216"/>
      <c r="R352" s="1216"/>
    </row>
    <row r="353" spans="2:18" s="1217" customFormat="1" x14ac:dyDescent="0.2">
      <c r="B353" s="1424" t="s">
        <v>747</v>
      </c>
      <c r="C353" s="3040"/>
      <c r="D353" s="3058"/>
      <c r="E353" s="3041"/>
      <c r="F353" s="1558"/>
      <c r="G353" s="2033"/>
      <c r="H353" s="1541">
        <v>1</v>
      </c>
      <c r="I353" s="1426">
        <f>F353*H353</f>
        <v>0</v>
      </c>
      <c r="J353" s="1390">
        <f>I353/15</f>
        <v>0</v>
      </c>
      <c r="L353" s="1216"/>
      <c r="M353" s="1216">
        <f>IF(G353&lt;&gt;"",IF(AND(G353&gt;=$M$12,G353&lt;=$N$12),1,0),0)</f>
        <v>0</v>
      </c>
      <c r="N353" s="1216"/>
      <c r="O353" s="1216"/>
      <c r="P353" s="1216"/>
      <c r="Q353" s="1216"/>
      <c r="R353" s="1216"/>
    </row>
    <row r="354" spans="2:18" s="1217" customFormat="1" x14ac:dyDescent="0.2">
      <c r="B354" s="1542"/>
      <c r="C354" s="1328"/>
      <c r="D354" s="1328"/>
      <c r="E354" s="1543"/>
      <c r="F354" s="1544"/>
      <c r="G354" s="1545">
        <f>SUM(M349:M353)</f>
        <v>0</v>
      </c>
      <c r="H354" s="1329" t="s">
        <v>456</v>
      </c>
      <c r="I354" s="1282">
        <f>SUM(I349:I353)</f>
        <v>0</v>
      </c>
      <c r="J354" s="1283">
        <f>SUM(J349:J353)</f>
        <v>0</v>
      </c>
      <c r="L354" s="1216"/>
      <c r="M354" s="1216"/>
      <c r="N354" s="1216"/>
      <c r="O354" s="1216"/>
      <c r="P354" s="1216"/>
      <c r="Q354" s="1216"/>
      <c r="R354" s="1216"/>
    </row>
    <row r="355" spans="2:18" s="1304" customFormat="1" ht="12" customHeight="1" x14ac:dyDescent="0.2">
      <c r="B355" s="1298"/>
      <c r="C355" s="1299"/>
      <c r="D355" s="1299"/>
      <c r="E355" s="1299"/>
      <c r="F355" s="1298"/>
      <c r="G355" s="1298"/>
      <c r="H355" s="1299"/>
      <c r="I355" s="1433"/>
      <c r="J355" s="1433"/>
      <c r="L355" s="1302"/>
      <c r="M355" s="1216"/>
      <c r="N355" s="1302"/>
      <c r="O355" s="1302"/>
      <c r="P355" s="1302"/>
      <c r="Q355" s="1302"/>
      <c r="R355" s="1302"/>
    </row>
    <row r="356" spans="2:18" s="1304" customFormat="1" ht="5.25" customHeight="1" x14ac:dyDescent="0.2">
      <c r="B356" s="1411"/>
      <c r="C356" s="1561"/>
      <c r="D356" s="1561"/>
      <c r="E356" s="1561"/>
      <c r="F356" s="1411"/>
      <c r="G356" s="1411"/>
      <c r="H356" s="1561"/>
      <c r="I356" s="1447"/>
      <c r="J356" s="1447"/>
      <c r="L356" s="1302"/>
      <c r="M356" s="1216"/>
      <c r="N356" s="1302"/>
      <c r="O356" s="1302"/>
      <c r="P356" s="1302"/>
      <c r="Q356" s="1302"/>
      <c r="R356" s="1302"/>
    </row>
    <row r="357" spans="2:18" s="1144" customFormat="1" ht="16.5" x14ac:dyDescent="0.25">
      <c r="B357" s="3120" t="s">
        <v>1215</v>
      </c>
      <c r="C357" s="3121"/>
      <c r="D357" s="3121"/>
      <c r="E357" s="3121"/>
      <c r="F357" s="3121"/>
      <c r="G357" s="3121"/>
      <c r="H357" s="3121"/>
      <c r="I357" s="3121"/>
      <c r="J357" s="3122"/>
      <c r="L357" s="1147"/>
      <c r="M357" s="1216"/>
      <c r="N357" s="1147"/>
      <c r="O357" s="1147"/>
      <c r="P357" s="1147"/>
      <c r="Q357" s="1147"/>
      <c r="R357" s="1147"/>
    </row>
    <row r="358" spans="2:18" s="1198" customFormat="1" x14ac:dyDescent="0.2">
      <c r="B358" s="1271"/>
      <c r="C358" s="3052" t="s">
        <v>994</v>
      </c>
      <c r="D358" s="3053"/>
      <c r="E358" s="3054"/>
      <c r="F358" s="1471" t="s">
        <v>759</v>
      </c>
      <c r="G358" s="1272" t="s">
        <v>928</v>
      </c>
      <c r="H358" s="1536" t="s">
        <v>638</v>
      </c>
      <c r="I358" s="1537" t="s">
        <v>639</v>
      </c>
      <c r="J358" s="1538" t="s">
        <v>639</v>
      </c>
      <c r="L358" s="1196"/>
      <c r="M358" s="1216"/>
      <c r="N358" s="1196"/>
      <c r="O358" s="1196"/>
      <c r="P358" s="1196"/>
      <c r="Q358" s="1196"/>
      <c r="R358" s="1196"/>
    </row>
    <row r="359" spans="2:18" s="1209" customFormat="1" x14ac:dyDescent="0.2">
      <c r="B359" s="1199"/>
      <c r="C359" s="3091"/>
      <c r="D359" s="3115"/>
      <c r="E359" s="3092"/>
      <c r="F359" s="1201" t="s">
        <v>993</v>
      </c>
      <c r="G359" s="1568" t="s">
        <v>1245</v>
      </c>
      <c r="H359" s="1569" t="s">
        <v>644</v>
      </c>
      <c r="I359" s="1320" t="s">
        <v>641</v>
      </c>
      <c r="J359" s="1321" t="s">
        <v>510</v>
      </c>
      <c r="L359" s="1207"/>
      <c r="M359" s="1216"/>
      <c r="N359" s="1207"/>
      <c r="O359" s="1207"/>
      <c r="P359" s="1207"/>
      <c r="Q359" s="1207"/>
      <c r="R359" s="1207"/>
    </row>
    <row r="360" spans="2:18" s="1217" customFormat="1" x14ac:dyDescent="0.2">
      <c r="B360" s="1424" t="s">
        <v>743</v>
      </c>
      <c r="C360" s="3040"/>
      <c r="D360" s="3058"/>
      <c r="E360" s="3041"/>
      <c r="F360" s="1558"/>
      <c r="G360" s="2033"/>
      <c r="H360" s="1541">
        <v>1</v>
      </c>
      <c r="I360" s="1426">
        <f>F360*H360</f>
        <v>0</v>
      </c>
      <c r="J360" s="1390">
        <f>I360/15</f>
        <v>0</v>
      </c>
      <c r="L360" s="1216"/>
      <c r="M360" s="1216">
        <f>IF(G360&lt;&gt;"",IF(AND(G360&gt;=$M$12,G360&lt;=$N$12),1,0),0)</f>
        <v>0</v>
      </c>
      <c r="N360" s="1216"/>
      <c r="O360" s="1216"/>
      <c r="P360" s="1216"/>
      <c r="Q360" s="1216"/>
      <c r="R360" s="1216"/>
    </row>
    <row r="361" spans="2:18" s="1217" customFormat="1" x14ac:dyDescent="0.2">
      <c r="B361" s="1424" t="s">
        <v>744</v>
      </c>
      <c r="C361" s="3040"/>
      <c r="D361" s="3058"/>
      <c r="E361" s="3041"/>
      <c r="F361" s="1558"/>
      <c r="G361" s="2033"/>
      <c r="H361" s="1541">
        <v>1</v>
      </c>
      <c r="I361" s="1426">
        <f>F361*H361</f>
        <v>0</v>
      </c>
      <c r="J361" s="1390">
        <f>I361/15</f>
        <v>0</v>
      </c>
      <c r="L361" s="1216"/>
      <c r="M361" s="1216">
        <f>IF(G361&lt;&gt;"",IF(AND(G361&gt;=$M$12,G361&lt;=$N$12),1,0),0)</f>
        <v>0</v>
      </c>
      <c r="N361" s="1216"/>
      <c r="O361" s="1216"/>
      <c r="P361" s="1216"/>
      <c r="Q361" s="1216"/>
      <c r="R361" s="1216"/>
    </row>
    <row r="362" spans="2:18" s="1217" customFormat="1" x14ac:dyDescent="0.2">
      <c r="B362" s="1424" t="s">
        <v>745</v>
      </c>
      <c r="C362" s="3040"/>
      <c r="D362" s="3058"/>
      <c r="E362" s="3041"/>
      <c r="F362" s="1558"/>
      <c r="G362" s="2033"/>
      <c r="H362" s="1541">
        <v>1</v>
      </c>
      <c r="I362" s="1426">
        <f>F362*H362</f>
        <v>0</v>
      </c>
      <c r="J362" s="1390">
        <f>I362/15</f>
        <v>0</v>
      </c>
      <c r="L362" s="1216"/>
      <c r="M362" s="1216">
        <f>IF(G362&lt;&gt;"",IF(AND(G362&gt;=$M$12,G362&lt;=$N$12),1,0),0)</f>
        <v>0</v>
      </c>
      <c r="N362" s="1216"/>
      <c r="O362" s="1216"/>
      <c r="P362" s="1216"/>
      <c r="Q362" s="1216"/>
      <c r="R362" s="1216"/>
    </row>
    <row r="363" spans="2:18" s="1217" customFormat="1" x14ac:dyDescent="0.2">
      <c r="B363" s="1424" t="s">
        <v>746</v>
      </c>
      <c r="C363" s="3040"/>
      <c r="D363" s="3058"/>
      <c r="E363" s="3041"/>
      <c r="F363" s="1558"/>
      <c r="G363" s="2033"/>
      <c r="H363" s="1541">
        <v>1</v>
      </c>
      <c r="I363" s="1426">
        <f>F363*H363</f>
        <v>0</v>
      </c>
      <c r="J363" s="1390">
        <f>I363/15</f>
        <v>0</v>
      </c>
      <c r="L363" s="1216"/>
      <c r="M363" s="1216">
        <f>IF(G363&lt;&gt;"",IF(AND(G363&gt;=$M$12,G363&lt;=$N$12),1,0),0)</f>
        <v>0</v>
      </c>
      <c r="N363" s="1216"/>
      <c r="O363" s="1216"/>
      <c r="P363" s="1216"/>
      <c r="Q363" s="1216"/>
      <c r="R363" s="1216"/>
    </row>
    <row r="364" spans="2:18" s="1217" customFormat="1" x14ac:dyDescent="0.2">
      <c r="B364" s="1424" t="s">
        <v>747</v>
      </c>
      <c r="C364" s="3040"/>
      <c r="D364" s="3058"/>
      <c r="E364" s="3041"/>
      <c r="F364" s="1558"/>
      <c r="G364" s="2033"/>
      <c r="H364" s="1541">
        <v>1</v>
      </c>
      <c r="I364" s="1426">
        <f>F364*H364</f>
        <v>0</v>
      </c>
      <c r="J364" s="1390">
        <f>I364/15</f>
        <v>0</v>
      </c>
      <c r="L364" s="1216"/>
      <c r="M364" s="1216">
        <f>IF(G364&lt;&gt;"",IF(AND(G364&gt;=$M$12,G364&lt;=$N$12),1,0),0)</f>
        <v>0</v>
      </c>
      <c r="N364" s="1216"/>
      <c r="O364" s="1216"/>
      <c r="P364" s="1216"/>
      <c r="Q364" s="1216"/>
      <c r="R364" s="1216"/>
    </row>
    <row r="365" spans="2:18" s="1217" customFormat="1" x14ac:dyDescent="0.2">
      <c r="B365" s="1542"/>
      <c r="C365" s="1328"/>
      <c r="D365" s="1328"/>
      <c r="E365" s="1543"/>
      <c r="F365" s="1544"/>
      <c r="G365" s="1545">
        <f>SUM(M360:M364)</f>
        <v>0</v>
      </c>
      <c r="H365" s="1329" t="s">
        <v>456</v>
      </c>
      <c r="I365" s="1282">
        <f>SUM(I360:I364)</f>
        <v>0</v>
      </c>
      <c r="J365" s="1283">
        <f>SUM(J360:J364)</f>
        <v>0</v>
      </c>
      <c r="L365" s="1216"/>
      <c r="M365" s="1216"/>
      <c r="N365" s="1216"/>
      <c r="O365" s="1216"/>
      <c r="P365" s="1216"/>
      <c r="Q365" s="1216"/>
      <c r="R365" s="1216"/>
    </row>
    <row r="366" spans="2:18" s="1304" customFormat="1" ht="12" customHeight="1" x14ac:dyDescent="0.2">
      <c r="B366" s="1562"/>
      <c r="C366" s="1432"/>
      <c r="D366" s="1432"/>
      <c r="E366" s="1432"/>
      <c r="F366" s="1562"/>
      <c r="G366" s="1562"/>
      <c r="H366" s="1432"/>
      <c r="I366" s="1563"/>
      <c r="J366" s="1563"/>
      <c r="L366" s="1302"/>
      <c r="M366" s="1216"/>
      <c r="N366" s="1302"/>
      <c r="O366" s="1302"/>
      <c r="P366" s="1302"/>
      <c r="Q366" s="1302"/>
      <c r="R366" s="1302"/>
    </row>
    <row r="367" spans="2:18" s="1304" customFormat="1" ht="5.25" customHeight="1" x14ac:dyDescent="0.2">
      <c r="B367" s="1502"/>
      <c r="C367" s="1564"/>
      <c r="D367" s="1564"/>
      <c r="E367" s="1564"/>
      <c r="F367" s="1502"/>
      <c r="G367" s="1502"/>
      <c r="H367" s="1564"/>
      <c r="I367" s="1565"/>
      <c r="J367" s="1565"/>
      <c r="L367" s="1302"/>
      <c r="M367" s="1216"/>
      <c r="N367" s="1302"/>
      <c r="O367" s="1302"/>
      <c r="P367" s="1302"/>
      <c r="Q367" s="1302"/>
      <c r="R367" s="1302"/>
    </row>
    <row r="368" spans="2:18" s="1144" customFormat="1" ht="21" customHeight="1" x14ac:dyDescent="0.2">
      <c r="B368" s="3117" t="s">
        <v>995</v>
      </c>
      <c r="C368" s="3118"/>
      <c r="D368" s="3118"/>
      <c r="E368" s="3118"/>
      <c r="F368" s="3118"/>
      <c r="G368" s="3118"/>
      <c r="H368" s="3118"/>
      <c r="I368" s="3118"/>
      <c r="J368" s="3119"/>
      <c r="L368" s="1147"/>
      <c r="M368" s="1216"/>
      <c r="N368" s="1147"/>
      <c r="O368" s="1147"/>
      <c r="P368" s="1147"/>
      <c r="Q368" s="1147"/>
      <c r="R368" s="1147"/>
    </row>
    <row r="369" spans="2:18" s="1198" customFormat="1" x14ac:dyDescent="0.2">
      <c r="B369" s="1271"/>
      <c r="C369" s="3052" t="s">
        <v>996</v>
      </c>
      <c r="D369" s="3053"/>
      <c r="E369" s="3054"/>
      <c r="F369" s="1471" t="s">
        <v>759</v>
      </c>
      <c r="G369" s="1272" t="s">
        <v>928</v>
      </c>
      <c r="H369" s="1536" t="s">
        <v>638</v>
      </c>
      <c r="I369" s="1537" t="s">
        <v>639</v>
      </c>
      <c r="J369" s="1538" t="s">
        <v>639</v>
      </c>
      <c r="L369" s="1196"/>
      <c r="M369" s="1216"/>
      <c r="N369" s="1196"/>
      <c r="O369" s="1196"/>
      <c r="P369" s="1196"/>
      <c r="Q369" s="1196"/>
      <c r="R369" s="1196"/>
    </row>
    <row r="370" spans="2:18" s="1209" customFormat="1" x14ac:dyDescent="0.2">
      <c r="B370" s="1199"/>
      <c r="C370" s="3091"/>
      <c r="D370" s="3115"/>
      <c r="E370" s="3092"/>
      <c r="F370" s="1201" t="s">
        <v>993</v>
      </c>
      <c r="G370" s="1568" t="s">
        <v>1245</v>
      </c>
      <c r="H370" s="1569" t="s">
        <v>644</v>
      </c>
      <c r="I370" s="1320" t="s">
        <v>641</v>
      </c>
      <c r="J370" s="1321" t="s">
        <v>510</v>
      </c>
      <c r="L370" s="1207"/>
      <c r="M370" s="1216"/>
      <c r="N370" s="1207"/>
      <c r="O370" s="1207"/>
      <c r="P370" s="1207"/>
      <c r="Q370" s="1207"/>
      <c r="R370" s="1207"/>
    </row>
    <row r="371" spans="2:18" s="1602" customFormat="1" x14ac:dyDescent="0.2">
      <c r="B371" s="1424" t="s">
        <v>743</v>
      </c>
      <c r="C371" s="3040"/>
      <c r="D371" s="3058"/>
      <c r="E371" s="3041"/>
      <c r="F371" s="1558"/>
      <c r="G371" s="2033"/>
      <c r="H371" s="1541">
        <v>1</v>
      </c>
      <c r="I371" s="1426">
        <f>F371*H371</f>
        <v>0</v>
      </c>
      <c r="J371" s="1390">
        <f>I371/15</f>
        <v>0</v>
      </c>
      <c r="L371" s="1603"/>
      <c r="M371" s="1216">
        <f>IF(G371&lt;&gt;"",IF(AND(G371&gt;=$M$12,G371&lt;=$N$12),1,0),0)</f>
        <v>0</v>
      </c>
      <c r="N371" s="1603"/>
      <c r="O371" s="1603"/>
      <c r="P371" s="1603"/>
      <c r="Q371" s="1603"/>
      <c r="R371" s="1603"/>
    </row>
    <row r="372" spans="2:18" s="1602" customFormat="1" x14ac:dyDescent="0.2">
      <c r="B372" s="1424" t="s">
        <v>744</v>
      </c>
      <c r="C372" s="3040"/>
      <c r="D372" s="3058"/>
      <c r="E372" s="3041"/>
      <c r="F372" s="1558"/>
      <c r="G372" s="2033"/>
      <c r="H372" s="1541">
        <v>1</v>
      </c>
      <c r="I372" s="1426">
        <f>F372*H372</f>
        <v>0</v>
      </c>
      <c r="J372" s="1390">
        <f>I372/15</f>
        <v>0</v>
      </c>
      <c r="L372" s="1603"/>
      <c r="M372" s="1216">
        <f>IF(G372&lt;&gt;"",IF(AND(G372&gt;=$M$12,G372&lt;=$N$12),1,0),0)</f>
        <v>0</v>
      </c>
      <c r="N372" s="1603"/>
      <c r="O372" s="1603"/>
      <c r="P372" s="1603"/>
      <c r="Q372" s="1603"/>
      <c r="R372" s="1603"/>
    </row>
    <row r="373" spans="2:18" s="1602" customFormat="1" x14ac:dyDescent="0.2">
      <c r="B373" s="1424" t="s">
        <v>745</v>
      </c>
      <c r="C373" s="3040"/>
      <c r="D373" s="3058"/>
      <c r="E373" s="3041"/>
      <c r="F373" s="1558"/>
      <c r="G373" s="2033"/>
      <c r="H373" s="1541">
        <v>1</v>
      </c>
      <c r="I373" s="1426">
        <f>F373*H373</f>
        <v>0</v>
      </c>
      <c r="J373" s="1390">
        <f>I373/15</f>
        <v>0</v>
      </c>
      <c r="L373" s="1603"/>
      <c r="M373" s="1216">
        <f>IF(G373&lt;&gt;"",IF(AND(G373&gt;=$M$12,G373&lt;=$N$12),1,0),0)</f>
        <v>0</v>
      </c>
      <c r="N373" s="1603"/>
      <c r="O373" s="1603"/>
      <c r="P373" s="1603"/>
      <c r="Q373" s="1603"/>
      <c r="R373" s="1603"/>
    </row>
    <row r="374" spans="2:18" s="1602" customFormat="1" x14ac:dyDescent="0.2">
      <c r="B374" s="1424" t="s">
        <v>746</v>
      </c>
      <c r="C374" s="3040"/>
      <c r="D374" s="3058"/>
      <c r="E374" s="3041"/>
      <c r="F374" s="1558"/>
      <c r="G374" s="2033"/>
      <c r="H374" s="1541">
        <v>1</v>
      </c>
      <c r="I374" s="1426">
        <f>F374*H374</f>
        <v>0</v>
      </c>
      <c r="J374" s="1390">
        <f>I374/15</f>
        <v>0</v>
      </c>
      <c r="L374" s="1603"/>
      <c r="M374" s="1216">
        <f>IF(G374&lt;&gt;"",IF(AND(G374&gt;=$M$12,G374&lt;=$N$12),1,0),0)</f>
        <v>0</v>
      </c>
      <c r="N374" s="1603"/>
      <c r="O374" s="1603"/>
      <c r="P374" s="1603"/>
      <c r="Q374" s="1603"/>
      <c r="R374" s="1603"/>
    </row>
    <row r="375" spans="2:18" s="1602" customFormat="1" x14ac:dyDescent="0.2">
      <c r="B375" s="1424" t="s">
        <v>747</v>
      </c>
      <c r="C375" s="3040"/>
      <c r="D375" s="3058"/>
      <c r="E375" s="3041"/>
      <c r="F375" s="1558"/>
      <c r="G375" s="2033"/>
      <c r="H375" s="1541">
        <v>1</v>
      </c>
      <c r="I375" s="1426">
        <f>F375*H375</f>
        <v>0</v>
      </c>
      <c r="J375" s="1390">
        <f>I375/15</f>
        <v>0</v>
      </c>
      <c r="L375" s="1603"/>
      <c r="M375" s="1216">
        <f>IF(G375&lt;&gt;"",IF(AND(G375&gt;=$M$12,G375&lt;=$N$12),1,0),0)</f>
        <v>0</v>
      </c>
      <c r="N375" s="1603"/>
      <c r="O375" s="1603"/>
      <c r="P375" s="1603"/>
      <c r="Q375" s="1603"/>
      <c r="R375" s="1603"/>
    </row>
    <row r="376" spans="2:18" s="1602" customFormat="1" x14ac:dyDescent="0.2">
      <c r="B376" s="1542"/>
      <c r="C376" s="1328"/>
      <c r="D376" s="1328"/>
      <c r="E376" s="1543"/>
      <c r="F376" s="1544"/>
      <c r="G376" s="1545">
        <f>SUM(M371:M375)</f>
        <v>0</v>
      </c>
      <c r="H376" s="1329" t="s">
        <v>456</v>
      </c>
      <c r="I376" s="1282">
        <f>SUM(I371:I375)</f>
        <v>0</v>
      </c>
      <c r="J376" s="1283">
        <f>SUM(J371:J375)</f>
        <v>0</v>
      </c>
      <c r="L376" s="1603"/>
      <c r="M376" s="1216"/>
      <c r="N376" s="1603"/>
      <c r="O376" s="1603"/>
      <c r="P376" s="1603"/>
      <c r="Q376" s="1603"/>
      <c r="R376" s="1603"/>
    </row>
    <row r="377" spans="2:18" s="1304" customFormat="1" ht="15" x14ac:dyDescent="0.2">
      <c r="B377" s="1434"/>
      <c r="C377" s="1560"/>
      <c r="D377" s="1560"/>
      <c r="E377" s="1560"/>
      <c r="F377" s="1434"/>
      <c r="G377" s="1434"/>
      <c r="H377" s="1560"/>
      <c r="I377" s="1448"/>
      <c r="J377" s="1448"/>
      <c r="L377" s="1302"/>
      <c r="M377" s="1216"/>
      <c r="N377" s="1302"/>
      <c r="O377" s="1302"/>
      <c r="P377" s="1302"/>
      <c r="Q377" s="1302"/>
      <c r="R377" s="1302"/>
    </row>
    <row r="378" spans="2:18" s="1304" customFormat="1" ht="15" x14ac:dyDescent="0.2">
      <c r="B378" s="1434"/>
      <c r="C378" s="1560"/>
      <c r="D378" s="1560"/>
      <c r="E378" s="1560"/>
      <c r="F378" s="1434"/>
      <c r="G378" s="1434"/>
      <c r="H378" s="1560"/>
      <c r="I378" s="1448"/>
      <c r="J378" s="1448"/>
      <c r="L378" s="1302"/>
      <c r="M378" s="1216"/>
      <c r="N378" s="1302"/>
      <c r="O378" s="1302"/>
      <c r="P378" s="1302"/>
      <c r="Q378" s="1302"/>
      <c r="R378" s="1302"/>
    </row>
    <row r="379" spans="2:18" s="1144" customFormat="1" ht="21" customHeight="1" x14ac:dyDescent="0.25">
      <c r="B379" s="1172" t="s">
        <v>997</v>
      </c>
      <c r="C379" s="1899"/>
      <c r="D379" s="1534"/>
      <c r="E379" s="1174"/>
      <c r="F379" s="1176"/>
      <c r="G379" s="1176"/>
      <c r="H379" s="1176"/>
      <c r="I379" s="1176"/>
      <c r="J379" s="1535"/>
      <c r="L379" s="1147"/>
      <c r="M379" s="1216"/>
      <c r="N379" s="1147"/>
      <c r="O379" s="1147"/>
      <c r="P379" s="1147"/>
      <c r="Q379" s="1147"/>
      <c r="R379" s="1147"/>
    </row>
    <row r="380" spans="2:18" s="1144" customFormat="1" ht="21" customHeight="1" x14ac:dyDescent="0.25">
      <c r="B380" s="1604" t="s">
        <v>998</v>
      </c>
      <c r="C380" s="1606"/>
      <c r="D380" s="1605"/>
      <c r="E380" s="1606"/>
      <c r="F380" s="1607"/>
      <c r="G380" s="1607"/>
      <c r="H380" s="1607"/>
      <c r="I380" s="1608"/>
      <c r="J380" s="1609"/>
      <c r="L380" s="1147"/>
      <c r="M380" s="1216"/>
      <c r="N380" s="1147"/>
      <c r="O380" s="1147"/>
      <c r="P380" s="1147"/>
      <c r="Q380" s="1147"/>
      <c r="R380" s="1147"/>
    </row>
    <row r="381" spans="2:18" s="1198" customFormat="1" x14ac:dyDescent="0.2">
      <c r="B381" s="1271"/>
      <c r="C381" s="1892" t="s">
        <v>687</v>
      </c>
      <c r="D381" s="1471" t="s">
        <v>1240</v>
      </c>
      <c r="E381" s="2020" t="s">
        <v>752</v>
      </c>
      <c r="F381" s="1272" t="s">
        <v>928</v>
      </c>
      <c r="G381" s="1272" t="s">
        <v>1010</v>
      </c>
      <c r="H381" s="1536" t="s">
        <v>638</v>
      </c>
      <c r="I381" s="1537" t="s">
        <v>639</v>
      </c>
      <c r="J381" s="1538" t="s">
        <v>639</v>
      </c>
      <c r="L381" s="1196"/>
      <c r="M381" s="1216"/>
      <c r="N381" s="1196"/>
      <c r="O381" s="1196"/>
      <c r="P381" s="1196"/>
      <c r="Q381" s="1196"/>
      <c r="R381" s="1196"/>
    </row>
    <row r="382" spans="2:18" s="1209" customFormat="1" x14ac:dyDescent="0.2">
      <c r="B382" s="1199"/>
      <c r="C382" s="1644"/>
      <c r="D382" s="1368"/>
      <c r="E382" s="2021" t="s">
        <v>754</v>
      </c>
      <c r="F382" s="1568" t="s">
        <v>1245</v>
      </c>
      <c r="G382" s="1568" t="s">
        <v>1245</v>
      </c>
      <c r="H382" s="1569" t="s">
        <v>644</v>
      </c>
      <c r="I382" s="1320" t="s">
        <v>641</v>
      </c>
      <c r="J382" s="1321" t="s">
        <v>510</v>
      </c>
      <c r="L382" s="1207"/>
      <c r="M382" s="1216"/>
      <c r="N382" s="1207"/>
      <c r="O382" s="1207"/>
      <c r="P382" s="1207"/>
      <c r="Q382" s="1207"/>
      <c r="R382" s="1207"/>
    </row>
    <row r="383" spans="2:18" s="1217" customFormat="1" x14ac:dyDescent="0.2">
      <c r="B383" s="1610"/>
      <c r="C383" s="1611" t="s">
        <v>999</v>
      </c>
      <c r="D383" s="1594"/>
      <c r="E383" s="1594"/>
      <c r="F383" s="1594"/>
      <c r="G383" s="1594"/>
      <c r="H383" s="1594"/>
      <c r="I383" s="1594"/>
      <c r="J383" s="1596"/>
      <c r="L383" s="1216"/>
      <c r="M383" s="1216"/>
      <c r="N383" s="1216"/>
      <c r="O383" s="1216"/>
      <c r="P383" s="1216"/>
      <c r="Q383" s="1216"/>
      <c r="R383" s="1216"/>
    </row>
    <row r="384" spans="2:18" s="1217" customFormat="1" x14ac:dyDescent="0.2">
      <c r="B384" s="1424" t="s">
        <v>915</v>
      </c>
      <c r="C384" s="1647"/>
      <c r="D384" s="1983"/>
      <c r="E384" s="1558"/>
      <c r="F384" s="2033"/>
      <c r="G384" s="2033"/>
      <c r="H384" s="1426">
        <f>I384*2</f>
        <v>0</v>
      </c>
      <c r="I384" s="1426">
        <f>J384*15</f>
        <v>0</v>
      </c>
      <c r="J384" s="1390">
        <f>IF(Q384&gt;35,35,Q384)</f>
        <v>0</v>
      </c>
      <c r="L384" s="1216"/>
      <c r="M384" s="1216">
        <f>IF(F384&lt;&gt;"",IF(F384&lt;$M$12,0,1),0)</f>
        <v>0</v>
      </c>
      <c r="N384" s="1216">
        <f>IF(G384&lt;&gt;"",IF(G384&gt;$N$12,1,IF(G384&gt;=$M$12,1,0)),0)</f>
        <v>0</v>
      </c>
      <c r="O384" s="1216">
        <f>IF(OR(M384=1,N384=1),1,0)</f>
        <v>0</v>
      </c>
      <c r="P384" s="1229">
        <f>IF(OR(D384="",E384=0,D384="",E384=0),0,D384*(E384/100))</f>
        <v>0</v>
      </c>
      <c r="Q384" s="1230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1216"/>
    </row>
    <row r="385" spans="2:18" s="1217" customFormat="1" x14ac:dyDescent="0.2">
      <c r="B385" s="1424" t="s">
        <v>916</v>
      </c>
      <c r="C385" s="1647"/>
      <c r="D385" s="1983"/>
      <c r="E385" s="1558"/>
      <c r="F385" s="2033"/>
      <c r="G385" s="2033"/>
      <c r="H385" s="1426">
        <f t="shared" ref="H385:H388" si="59">I385*2</f>
        <v>0</v>
      </c>
      <c r="I385" s="1426">
        <f t="shared" ref="I385:I388" si="60">J385*15</f>
        <v>0</v>
      </c>
      <c r="J385" s="1390">
        <f t="shared" ref="J385:J387" si="61">IF(Q385&gt;35,35,Q385)</f>
        <v>0</v>
      </c>
      <c r="L385" s="1216"/>
      <c r="M385" s="1216">
        <f t="shared" ref="M385:M395" si="62">IF(F385&lt;&gt;"",IF(F385&lt;$M$12,0,1),0)</f>
        <v>0</v>
      </c>
      <c r="N385" s="1216">
        <f t="shared" ref="N385:N395" si="63">IF(G385&lt;&gt;"",IF(G385&gt;$N$12,1,IF(G385&gt;=$M$12,1,0)),0)</f>
        <v>0</v>
      </c>
      <c r="O385" s="1216">
        <f t="shared" ref="O385:O395" si="64">IF(OR(M385=1,N385=1),1,0)</f>
        <v>0</v>
      </c>
      <c r="P385" s="1229">
        <f t="shared" ref="P385:P388" si="65">IF(OR(D385="",E385=0,D385="",E385=0),0,D385*(E385/100))</f>
        <v>0</v>
      </c>
      <c r="Q385" s="1230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1216"/>
    </row>
    <row r="386" spans="2:18" s="1217" customFormat="1" x14ac:dyDescent="0.2">
      <c r="B386" s="1424" t="s">
        <v>917</v>
      </c>
      <c r="C386" s="1647"/>
      <c r="D386" s="1983"/>
      <c r="E386" s="1558"/>
      <c r="F386" s="2033"/>
      <c r="G386" s="2033"/>
      <c r="H386" s="1426">
        <f t="shared" si="59"/>
        <v>0</v>
      </c>
      <c r="I386" s="1426">
        <f t="shared" si="60"/>
        <v>0</v>
      </c>
      <c r="J386" s="1390">
        <f t="shared" si="61"/>
        <v>0</v>
      </c>
      <c r="L386" s="1216"/>
      <c r="M386" s="1216">
        <f t="shared" si="62"/>
        <v>0</v>
      </c>
      <c r="N386" s="1216">
        <f t="shared" si="63"/>
        <v>0</v>
      </c>
      <c r="O386" s="1216">
        <f t="shared" si="64"/>
        <v>0</v>
      </c>
      <c r="P386" s="1229">
        <f t="shared" si="65"/>
        <v>0</v>
      </c>
      <c r="Q386" s="1230">
        <f t="shared" si="66"/>
        <v>0</v>
      </c>
      <c r="R386" s="1216"/>
    </row>
    <row r="387" spans="2:18" s="1217" customFormat="1" x14ac:dyDescent="0.2">
      <c r="B387" s="1424" t="s">
        <v>918</v>
      </c>
      <c r="C387" s="1647"/>
      <c r="D387" s="1983"/>
      <c r="E387" s="1558"/>
      <c r="F387" s="2033"/>
      <c r="G387" s="2033"/>
      <c r="H387" s="1426">
        <f t="shared" si="59"/>
        <v>0</v>
      </c>
      <c r="I387" s="1426">
        <f t="shared" si="60"/>
        <v>0</v>
      </c>
      <c r="J387" s="1390">
        <f t="shared" si="61"/>
        <v>0</v>
      </c>
      <c r="L387" s="1216"/>
      <c r="M387" s="1216">
        <f t="shared" si="62"/>
        <v>0</v>
      </c>
      <c r="N387" s="1216">
        <f t="shared" si="63"/>
        <v>0</v>
      </c>
      <c r="O387" s="1216">
        <f t="shared" si="64"/>
        <v>0</v>
      </c>
      <c r="P387" s="1229">
        <f t="shared" si="65"/>
        <v>0</v>
      </c>
      <c r="Q387" s="1230">
        <f t="shared" si="66"/>
        <v>0</v>
      </c>
      <c r="R387" s="1216"/>
    </row>
    <row r="388" spans="2:18" s="1217" customFormat="1" x14ac:dyDescent="0.2">
      <c r="B388" s="1424" t="s">
        <v>919</v>
      </c>
      <c r="C388" s="1647"/>
      <c r="D388" s="1983"/>
      <c r="E388" s="1558"/>
      <c r="F388" s="2033"/>
      <c r="G388" s="2033"/>
      <c r="H388" s="1426">
        <f t="shared" si="59"/>
        <v>0</v>
      </c>
      <c r="I388" s="1426">
        <f t="shared" si="60"/>
        <v>0</v>
      </c>
      <c r="J388" s="1390">
        <f>IF(Q388&gt;35,35,Q388)</f>
        <v>0</v>
      </c>
      <c r="L388" s="1216"/>
      <c r="M388" s="1216">
        <f t="shared" si="62"/>
        <v>0</v>
      </c>
      <c r="N388" s="1216">
        <f t="shared" si="63"/>
        <v>0</v>
      </c>
      <c r="O388" s="1216">
        <f t="shared" si="64"/>
        <v>0</v>
      </c>
      <c r="P388" s="1229">
        <f t="shared" si="65"/>
        <v>0</v>
      </c>
      <c r="Q388" s="1230">
        <f t="shared" si="66"/>
        <v>0</v>
      </c>
      <c r="R388" s="1216"/>
    </row>
    <row r="389" spans="2:18" s="1217" customFormat="1" x14ac:dyDescent="0.2">
      <c r="B389" s="1969"/>
      <c r="C389" s="1970"/>
      <c r="D389" s="1970"/>
      <c r="E389" s="1971"/>
      <c r="F389" s="1972"/>
      <c r="G389" s="1973">
        <f>SUM(O384:O388)</f>
        <v>0</v>
      </c>
      <c r="H389" s="1974" t="s">
        <v>456</v>
      </c>
      <c r="I389" s="1975">
        <f>SUM(I384:I388)</f>
        <v>0</v>
      </c>
      <c r="J389" s="1976">
        <f>SUM(J384:J388)</f>
        <v>0</v>
      </c>
      <c r="L389" s="1216"/>
      <c r="M389" s="1216"/>
      <c r="N389" s="1216"/>
      <c r="O389" s="1216"/>
      <c r="P389" s="1216"/>
      <c r="Q389" s="1216"/>
      <c r="R389" s="1216"/>
    </row>
    <row r="390" spans="2:18" s="1217" customFormat="1" x14ac:dyDescent="0.2">
      <c r="B390" s="1977"/>
      <c r="C390" s="1978" t="s">
        <v>1000</v>
      </c>
      <c r="D390" s="1979"/>
      <c r="E390" s="1980"/>
      <c r="F390" s="1980"/>
      <c r="G390" s="1980"/>
      <c r="H390" s="1980"/>
      <c r="I390" s="1981"/>
      <c r="J390" s="1982"/>
      <c r="L390" s="1216"/>
      <c r="M390" s="1216"/>
      <c r="N390" s="1216"/>
      <c r="O390" s="1216"/>
      <c r="P390" s="1216"/>
      <c r="Q390" s="1216"/>
      <c r="R390" s="1216"/>
    </row>
    <row r="391" spans="2:18" s="1217" customFormat="1" x14ac:dyDescent="0.2">
      <c r="B391" s="1424" t="s">
        <v>915</v>
      </c>
      <c r="C391" s="1647"/>
      <c r="D391" s="1983"/>
      <c r="E391" s="1558"/>
      <c r="F391" s="2033"/>
      <c r="G391" s="2033"/>
      <c r="H391" s="1426">
        <f>I391*2</f>
        <v>0</v>
      </c>
      <c r="I391" s="1426">
        <f>J391*15</f>
        <v>0</v>
      </c>
      <c r="J391" s="1390">
        <f>IF(Q391&gt;35,35,Q391)</f>
        <v>0</v>
      </c>
      <c r="L391" s="1216"/>
      <c r="M391" s="1216">
        <f>IF(F391&lt;&gt;"",IF(F391&lt;$M$12,0,1),0)</f>
        <v>0</v>
      </c>
      <c r="N391" s="1216">
        <f t="shared" si="63"/>
        <v>0</v>
      </c>
      <c r="O391" s="1216">
        <f t="shared" si="64"/>
        <v>0</v>
      </c>
      <c r="P391" s="1229">
        <f>IF(OR(D391="",D391=0,E391="",E391=0),0,D391*(E391/100))</f>
        <v>0</v>
      </c>
      <c r="Q391" s="1230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1216"/>
    </row>
    <row r="392" spans="2:18" s="1217" customFormat="1" x14ac:dyDescent="0.2">
      <c r="B392" s="1424" t="s">
        <v>916</v>
      </c>
      <c r="C392" s="1647"/>
      <c r="D392" s="1983"/>
      <c r="E392" s="1558"/>
      <c r="F392" s="2033"/>
      <c r="G392" s="2033"/>
      <c r="H392" s="1426">
        <f t="shared" ref="H392:H395" si="67">I392*2</f>
        <v>0</v>
      </c>
      <c r="I392" s="1426">
        <f t="shared" ref="I392:I395" si="68">J392*15</f>
        <v>0</v>
      </c>
      <c r="J392" s="1390">
        <f t="shared" ref="J392:J395" si="69">IF(Q392&gt;35,35,Q392)</f>
        <v>0</v>
      </c>
      <c r="L392" s="1216"/>
      <c r="M392" s="1216">
        <f t="shared" si="62"/>
        <v>0</v>
      </c>
      <c r="N392" s="1216">
        <f t="shared" si="63"/>
        <v>0</v>
      </c>
      <c r="O392" s="1216">
        <f t="shared" si="64"/>
        <v>0</v>
      </c>
      <c r="P392" s="1229">
        <f t="shared" ref="P392:P395" si="70">IF(OR(D392="",D392=0,E392="",E392=0),0,D392*(E392/100))</f>
        <v>0</v>
      </c>
      <c r="Q392" s="1230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1216"/>
    </row>
    <row r="393" spans="2:18" s="1217" customFormat="1" x14ac:dyDescent="0.2">
      <c r="B393" s="1424" t="s">
        <v>917</v>
      </c>
      <c r="C393" s="1647"/>
      <c r="D393" s="1983"/>
      <c r="E393" s="1558"/>
      <c r="F393" s="2033"/>
      <c r="G393" s="2033"/>
      <c r="H393" s="1426">
        <f t="shared" si="67"/>
        <v>0</v>
      </c>
      <c r="I393" s="1426">
        <f t="shared" si="68"/>
        <v>0</v>
      </c>
      <c r="J393" s="1390">
        <f t="shared" si="69"/>
        <v>0</v>
      </c>
      <c r="L393" s="1216"/>
      <c r="M393" s="1216">
        <f t="shared" si="62"/>
        <v>0</v>
      </c>
      <c r="N393" s="1216">
        <f t="shared" si="63"/>
        <v>0</v>
      </c>
      <c r="O393" s="1216">
        <f t="shared" si="64"/>
        <v>0</v>
      </c>
      <c r="P393" s="1229">
        <f t="shared" si="70"/>
        <v>0</v>
      </c>
      <c r="Q393" s="1230">
        <f t="shared" si="71"/>
        <v>0</v>
      </c>
      <c r="R393" s="1216"/>
    </row>
    <row r="394" spans="2:18" s="1217" customFormat="1" x14ac:dyDescent="0.2">
      <c r="B394" s="1424" t="s">
        <v>918</v>
      </c>
      <c r="C394" s="1647"/>
      <c r="D394" s="1983"/>
      <c r="E394" s="1558"/>
      <c r="F394" s="2033"/>
      <c r="G394" s="2033"/>
      <c r="H394" s="1426">
        <f t="shared" si="67"/>
        <v>0</v>
      </c>
      <c r="I394" s="1426">
        <f t="shared" si="68"/>
        <v>0</v>
      </c>
      <c r="J394" s="1390">
        <f t="shared" si="69"/>
        <v>0</v>
      </c>
      <c r="L394" s="1216"/>
      <c r="M394" s="1216">
        <f t="shared" si="62"/>
        <v>0</v>
      </c>
      <c r="N394" s="1216">
        <f t="shared" si="63"/>
        <v>0</v>
      </c>
      <c r="O394" s="1216">
        <f t="shared" si="64"/>
        <v>0</v>
      </c>
      <c r="P394" s="1229">
        <f t="shared" si="70"/>
        <v>0</v>
      </c>
      <c r="Q394" s="1230">
        <f t="shared" si="71"/>
        <v>0</v>
      </c>
      <c r="R394" s="1216"/>
    </row>
    <row r="395" spans="2:18" s="1217" customFormat="1" x14ac:dyDescent="0.2">
      <c r="B395" s="1424" t="s">
        <v>919</v>
      </c>
      <c r="C395" s="1647"/>
      <c r="D395" s="1983"/>
      <c r="E395" s="1558"/>
      <c r="F395" s="2033"/>
      <c r="G395" s="2033"/>
      <c r="H395" s="1426">
        <f t="shared" si="67"/>
        <v>0</v>
      </c>
      <c r="I395" s="1426">
        <f t="shared" si="68"/>
        <v>0</v>
      </c>
      <c r="J395" s="1390">
        <f t="shared" si="69"/>
        <v>0</v>
      </c>
      <c r="L395" s="1216"/>
      <c r="M395" s="1216">
        <f t="shared" si="62"/>
        <v>0</v>
      </c>
      <c r="N395" s="1216">
        <f t="shared" si="63"/>
        <v>0</v>
      </c>
      <c r="O395" s="1216">
        <f t="shared" si="64"/>
        <v>0</v>
      </c>
      <c r="P395" s="1229">
        <f t="shared" si="70"/>
        <v>0</v>
      </c>
      <c r="Q395" s="1230">
        <f t="shared" si="71"/>
        <v>0</v>
      </c>
      <c r="R395" s="1216"/>
    </row>
    <row r="396" spans="2:18" s="1217" customFormat="1" x14ac:dyDescent="0.2">
      <c r="B396" s="1542"/>
      <c r="C396" s="1328"/>
      <c r="D396" s="1328"/>
      <c r="E396" s="1543"/>
      <c r="F396" s="1544"/>
      <c r="G396" s="1545">
        <f>SUM(O391:O395)</f>
        <v>0</v>
      </c>
      <c r="H396" s="1329" t="s">
        <v>456</v>
      </c>
      <c r="I396" s="1613">
        <f>SUM(I391:I395)</f>
        <v>0</v>
      </c>
      <c r="J396" s="1614">
        <f>SUM(J391:J395)</f>
        <v>0</v>
      </c>
      <c r="L396" s="1216"/>
      <c r="M396" s="1216"/>
      <c r="N396" s="1216"/>
      <c r="O396" s="1216"/>
      <c r="P396" s="1216"/>
      <c r="Q396" s="1216"/>
      <c r="R396" s="1216"/>
    </row>
    <row r="397" spans="2:18" s="1304" customFormat="1" ht="5.25" customHeight="1" x14ac:dyDescent="0.2">
      <c r="B397" s="1575"/>
      <c r="C397" s="1553"/>
      <c r="D397" s="1553"/>
      <c r="E397" s="1556"/>
      <c r="F397" s="1556"/>
      <c r="G397" s="1556"/>
      <c r="H397" s="1556"/>
      <c r="I397" s="1615"/>
      <c r="J397" s="1616"/>
      <c r="L397" s="1302"/>
      <c r="M397" s="1216"/>
      <c r="N397" s="1302"/>
      <c r="O397" s="1302"/>
      <c r="P397" s="1302"/>
      <c r="Q397" s="1302"/>
      <c r="R397" s="1302"/>
    </row>
    <row r="398" spans="2:18" s="1144" customFormat="1" ht="21" customHeight="1" x14ac:dyDescent="0.25">
      <c r="B398" s="1604" t="s">
        <v>1001</v>
      </c>
      <c r="C398" s="1605"/>
      <c r="D398" s="1605"/>
      <c r="E398" s="1606"/>
      <c r="F398" s="1607"/>
      <c r="G398" s="1607"/>
      <c r="H398" s="1607"/>
      <c r="I398" s="1608"/>
      <c r="J398" s="1609"/>
      <c r="L398" s="1147"/>
      <c r="M398" s="1216"/>
      <c r="N398" s="1147"/>
      <c r="O398" s="1147"/>
      <c r="P398" s="1147"/>
      <c r="Q398" s="1147"/>
      <c r="R398" s="1147"/>
    </row>
    <row r="399" spans="2:18" s="1198" customFormat="1" x14ac:dyDescent="0.2">
      <c r="B399" s="1271"/>
      <c r="C399" s="3052" t="s">
        <v>687</v>
      </c>
      <c r="D399" s="3053"/>
      <c r="E399" s="3054"/>
      <c r="F399" s="1471" t="s">
        <v>914</v>
      </c>
      <c r="G399" s="1272" t="s">
        <v>928</v>
      </c>
      <c r="H399" s="1536" t="s">
        <v>638</v>
      </c>
      <c r="I399" s="1537" t="s">
        <v>639</v>
      </c>
      <c r="J399" s="1538" t="s">
        <v>639</v>
      </c>
      <c r="L399" s="1196"/>
      <c r="M399" s="1216"/>
      <c r="N399" s="1196"/>
      <c r="O399" s="1196"/>
      <c r="P399" s="1196"/>
      <c r="Q399" s="1196"/>
      <c r="R399" s="1196"/>
    </row>
    <row r="400" spans="2:18" s="1209" customFormat="1" x14ac:dyDescent="0.2">
      <c r="B400" s="1199"/>
      <c r="C400" s="1200"/>
      <c r="D400" s="1539"/>
      <c r="E400" s="1275"/>
      <c r="F400" s="1368"/>
      <c r="G400" s="1568" t="s">
        <v>1245</v>
      </c>
      <c r="H400" s="1569" t="s">
        <v>644</v>
      </c>
      <c r="I400" s="1320" t="s">
        <v>641</v>
      </c>
      <c r="J400" s="1321" t="s">
        <v>510</v>
      </c>
      <c r="L400" s="1207"/>
      <c r="M400" s="1216"/>
      <c r="N400" s="1207"/>
      <c r="O400" s="1207"/>
      <c r="P400" s="1207"/>
      <c r="Q400" s="1207"/>
      <c r="R400" s="1207"/>
    </row>
    <row r="401" spans="2:18" s="1602" customFormat="1" x14ac:dyDescent="0.2">
      <c r="B401" s="1424" t="s">
        <v>915</v>
      </c>
      <c r="C401" s="3040"/>
      <c r="D401" s="3058"/>
      <c r="E401" s="3041"/>
      <c r="F401" s="1558"/>
      <c r="G401" s="2033"/>
      <c r="H401" s="1541">
        <v>3</v>
      </c>
      <c r="I401" s="1426">
        <f>F401*H401</f>
        <v>0</v>
      </c>
      <c r="J401" s="1390">
        <f>I401/15</f>
        <v>0</v>
      </c>
      <c r="L401" s="1603"/>
      <c r="M401" s="1216">
        <f>IF(G401&lt;&gt;"",IF(AND(G401&gt;=$M$12,G401&lt;=$N$12),1,0),0)</f>
        <v>0</v>
      </c>
      <c r="N401" s="1603"/>
      <c r="O401" s="1603"/>
      <c r="P401" s="1603"/>
      <c r="Q401" s="1603"/>
      <c r="R401" s="1603"/>
    </row>
    <row r="402" spans="2:18" s="1602" customFormat="1" x14ac:dyDescent="0.2">
      <c r="B402" s="1424" t="s">
        <v>916</v>
      </c>
      <c r="C402" s="3040"/>
      <c r="D402" s="3058"/>
      <c r="E402" s="3041"/>
      <c r="F402" s="1558"/>
      <c r="G402" s="2033"/>
      <c r="H402" s="1541">
        <v>3</v>
      </c>
      <c r="I402" s="1426">
        <f>F402*H402</f>
        <v>0</v>
      </c>
      <c r="J402" s="1390">
        <f>I402/15</f>
        <v>0</v>
      </c>
      <c r="L402" s="1603"/>
      <c r="M402" s="1216">
        <f>IF(G402&lt;&gt;"",IF(AND(G402&gt;=$M$12,G402&lt;=$N$12),1,0),0)</f>
        <v>0</v>
      </c>
      <c r="N402" s="1603"/>
      <c r="O402" s="1603"/>
      <c r="P402" s="1603"/>
      <c r="Q402" s="1603"/>
      <c r="R402" s="1603"/>
    </row>
    <row r="403" spans="2:18" s="1602" customFormat="1" x14ac:dyDescent="0.2">
      <c r="B403" s="1424" t="s">
        <v>917</v>
      </c>
      <c r="C403" s="3040"/>
      <c r="D403" s="3058"/>
      <c r="E403" s="3041"/>
      <c r="F403" s="1558"/>
      <c r="G403" s="2033"/>
      <c r="H403" s="1541">
        <v>3</v>
      </c>
      <c r="I403" s="1426">
        <f>F403*H403</f>
        <v>0</v>
      </c>
      <c r="J403" s="1390">
        <f>I403/15</f>
        <v>0</v>
      </c>
      <c r="L403" s="1603"/>
      <c r="M403" s="1216">
        <f>IF(G403&lt;&gt;"",IF(AND(G403&gt;=$M$12,G403&lt;=$N$12),1,0),0)</f>
        <v>0</v>
      </c>
      <c r="N403" s="1603"/>
      <c r="O403" s="1603"/>
      <c r="P403" s="1603"/>
      <c r="Q403" s="1603"/>
      <c r="R403" s="1603"/>
    </row>
    <row r="404" spans="2:18" s="1602" customFormat="1" x14ac:dyDescent="0.2">
      <c r="B404" s="1424" t="s">
        <v>918</v>
      </c>
      <c r="C404" s="3040"/>
      <c r="D404" s="3058"/>
      <c r="E404" s="3041"/>
      <c r="F404" s="1558"/>
      <c r="G404" s="2033"/>
      <c r="H404" s="1541">
        <v>3</v>
      </c>
      <c r="I404" s="1426">
        <f>F404*H404</f>
        <v>0</v>
      </c>
      <c r="J404" s="1390">
        <f>I404/15</f>
        <v>0</v>
      </c>
      <c r="L404" s="1603"/>
      <c r="M404" s="1216">
        <f>IF(G404&lt;&gt;"",IF(AND(G404&gt;=$M$12,G404&lt;=$N$12),1,0),0)</f>
        <v>0</v>
      </c>
      <c r="N404" s="1603"/>
      <c r="O404" s="1603"/>
      <c r="P404" s="1603"/>
      <c r="Q404" s="1603"/>
      <c r="R404" s="1603"/>
    </row>
    <row r="405" spans="2:18" s="1602" customFormat="1" x14ac:dyDescent="0.2">
      <c r="B405" s="1424" t="s">
        <v>919</v>
      </c>
      <c r="C405" s="3040"/>
      <c r="D405" s="3058"/>
      <c r="E405" s="3041"/>
      <c r="F405" s="1558"/>
      <c r="G405" s="2033"/>
      <c r="H405" s="1541">
        <v>3</v>
      </c>
      <c r="I405" s="1426">
        <f>F405*H405</f>
        <v>0</v>
      </c>
      <c r="J405" s="1390">
        <f>I405/15</f>
        <v>0</v>
      </c>
      <c r="L405" s="1603"/>
      <c r="M405" s="1216">
        <f>IF(G405&lt;&gt;"",IF(AND(G405&gt;=$M$12,G405&lt;=$N$12),1,0),0)</f>
        <v>0</v>
      </c>
      <c r="N405" s="1603"/>
      <c r="O405" s="1603"/>
      <c r="P405" s="1603"/>
      <c r="Q405" s="1603"/>
      <c r="R405" s="1603"/>
    </row>
    <row r="406" spans="2:18" s="1602" customFormat="1" x14ac:dyDescent="0.2">
      <c r="B406" s="1542"/>
      <c r="C406" s="1328"/>
      <c r="D406" s="1328"/>
      <c r="E406" s="1543"/>
      <c r="F406" s="1544"/>
      <c r="G406" s="1545">
        <f>SUM(M401:M405)</f>
        <v>0</v>
      </c>
      <c r="H406" s="1329" t="s">
        <v>456</v>
      </c>
      <c r="I406" s="1613">
        <f>SUM(I401:I405)</f>
        <v>0</v>
      </c>
      <c r="J406" s="1614">
        <f>SUM(J401:J405)</f>
        <v>0</v>
      </c>
      <c r="L406" s="1603"/>
      <c r="M406" s="1216"/>
      <c r="N406" s="1603"/>
      <c r="O406" s="1603"/>
      <c r="P406" s="1603"/>
      <c r="Q406" s="1603"/>
      <c r="R406" s="1603"/>
    </row>
    <row r="407" spans="2:18" s="1217" customFormat="1" ht="21" customHeight="1" x14ac:dyDescent="0.2">
      <c r="B407" s="1617"/>
      <c r="C407" s="1289"/>
      <c r="D407" s="1289"/>
      <c r="E407" s="1289"/>
      <c r="F407" s="1289"/>
      <c r="G407" s="1289"/>
      <c r="H407" s="1618" t="s">
        <v>1002</v>
      </c>
      <c r="I407" s="1619">
        <f>I389+I396+I406</f>
        <v>0</v>
      </c>
      <c r="J407" s="1619">
        <f>J389+J396+J406</f>
        <v>0</v>
      </c>
      <c r="L407" s="1216"/>
      <c r="M407" s="1216"/>
      <c r="N407" s="1216"/>
      <c r="O407" s="1216"/>
      <c r="P407" s="1216"/>
      <c r="Q407" s="1216"/>
      <c r="R407" s="1216"/>
    </row>
    <row r="408" spans="2:18" s="1304" customFormat="1" ht="15" x14ac:dyDescent="0.2">
      <c r="B408" s="1434"/>
      <c r="C408" s="1560"/>
      <c r="D408" s="1560"/>
      <c r="E408" s="1560"/>
      <c r="F408" s="1434"/>
      <c r="G408" s="1434"/>
      <c r="H408" s="1560"/>
      <c r="I408" s="1448"/>
      <c r="J408" s="1448"/>
      <c r="L408" s="1302"/>
      <c r="M408" s="1216"/>
      <c r="N408" s="1302"/>
      <c r="O408" s="1302"/>
      <c r="P408" s="1302"/>
      <c r="Q408" s="1302"/>
      <c r="R408" s="1302"/>
    </row>
    <row r="409" spans="2:18" s="1144" customFormat="1" ht="21" customHeight="1" x14ac:dyDescent="0.25">
      <c r="B409" s="1172" t="s">
        <v>1003</v>
      </c>
      <c r="C409" s="1534"/>
      <c r="D409" s="1534"/>
      <c r="E409" s="1174"/>
      <c r="F409" s="1176"/>
      <c r="G409" s="1176"/>
      <c r="H409" s="1176"/>
      <c r="I409" s="1176"/>
      <c r="J409" s="1535"/>
      <c r="L409" s="1147"/>
      <c r="M409" s="1216"/>
      <c r="N409" s="1147"/>
      <c r="O409" s="1147"/>
      <c r="P409" s="1147"/>
      <c r="Q409" s="1147"/>
      <c r="R409" s="1147"/>
    </row>
    <row r="410" spans="2:18" s="1198" customFormat="1" x14ac:dyDescent="0.2">
      <c r="B410" s="1271"/>
      <c r="C410" s="3052" t="s">
        <v>992</v>
      </c>
      <c r="D410" s="3053"/>
      <c r="E410" s="3054"/>
      <c r="F410" s="1471" t="s">
        <v>759</v>
      </c>
      <c r="G410" s="1272" t="s">
        <v>928</v>
      </c>
      <c r="H410" s="1536" t="s">
        <v>638</v>
      </c>
      <c r="I410" s="1537" t="s">
        <v>639</v>
      </c>
      <c r="J410" s="1538" t="s">
        <v>639</v>
      </c>
      <c r="L410" s="1196"/>
      <c r="M410" s="1216"/>
      <c r="N410" s="1196"/>
      <c r="O410" s="1196"/>
      <c r="P410" s="1196"/>
      <c r="Q410" s="1196"/>
      <c r="R410" s="1196"/>
    </row>
    <row r="411" spans="2:18" s="1209" customFormat="1" x14ac:dyDescent="0.2">
      <c r="B411" s="1199"/>
      <c r="C411" s="1200"/>
      <c r="D411" s="1539"/>
      <c r="E411" s="1581"/>
      <c r="F411" s="1201" t="s">
        <v>1004</v>
      </c>
      <c r="G411" s="1568" t="s">
        <v>1245</v>
      </c>
      <c r="H411" s="1569" t="s">
        <v>644</v>
      </c>
      <c r="I411" s="1320" t="s">
        <v>641</v>
      </c>
      <c r="J411" s="1321" t="s">
        <v>510</v>
      </c>
      <c r="L411" s="1207"/>
      <c r="M411" s="1216"/>
      <c r="N411" s="1207"/>
      <c r="O411" s="1207"/>
      <c r="P411" s="1207"/>
      <c r="Q411" s="1207"/>
      <c r="R411" s="1207"/>
    </row>
    <row r="412" spans="2:18" s="1217" customFormat="1" x14ac:dyDescent="0.2">
      <c r="B412" s="1424" t="s">
        <v>743</v>
      </c>
      <c r="C412" s="3040"/>
      <c r="D412" s="3058"/>
      <c r="E412" s="3041"/>
      <c r="F412" s="1558"/>
      <c r="G412" s="2033"/>
      <c r="H412" s="1541">
        <v>1</v>
      </c>
      <c r="I412" s="1426">
        <f>F412*H412</f>
        <v>0</v>
      </c>
      <c r="J412" s="1390">
        <f>I412/15</f>
        <v>0</v>
      </c>
      <c r="L412" s="1216"/>
      <c r="M412" s="1216">
        <f>IF(G412&lt;&gt;"",IF(AND(G412&gt;=$M$12,G412&lt;=$N$12),1,0),0)</f>
        <v>0</v>
      </c>
      <c r="N412" s="1216"/>
      <c r="O412" s="1216"/>
      <c r="P412" s="1216"/>
      <c r="Q412" s="1216"/>
      <c r="R412" s="1216"/>
    </row>
    <row r="413" spans="2:18" s="1217" customFormat="1" x14ac:dyDescent="0.2">
      <c r="B413" s="1424" t="s">
        <v>744</v>
      </c>
      <c r="C413" s="3040"/>
      <c r="D413" s="3058"/>
      <c r="E413" s="3041"/>
      <c r="F413" s="1558"/>
      <c r="G413" s="2033"/>
      <c r="H413" s="1541">
        <v>1</v>
      </c>
      <c r="I413" s="1426">
        <f>F413*H413</f>
        <v>0</v>
      </c>
      <c r="J413" s="1390">
        <f>I413/15</f>
        <v>0</v>
      </c>
      <c r="L413" s="1216"/>
      <c r="M413" s="1216">
        <f>IF(G413&lt;&gt;"",IF(AND(G413&gt;=$M$12,G413&lt;=$N$12),1,0),0)</f>
        <v>0</v>
      </c>
      <c r="N413" s="1216"/>
      <c r="O413" s="1216"/>
      <c r="P413" s="1216"/>
      <c r="Q413" s="1216"/>
      <c r="R413" s="1216"/>
    </row>
    <row r="414" spans="2:18" s="1217" customFormat="1" x14ac:dyDescent="0.2">
      <c r="B414" s="1424" t="s">
        <v>745</v>
      </c>
      <c r="C414" s="3040"/>
      <c r="D414" s="3058"/>
      <c r="E414" s="3041"/>
      <c r="F414" s="1558"/>
      <c r="G414" s="2033"/>
      <c r="H414" s="1541">
        <v>1</v>
      </c>
      <c r="I414" s="1426">
        <f>F414*H414</f>
        <v>0</v>
      </c>
      <c r="J414" s="1390">
        <f>I414/15</f>
        <v>0</v>
      </c>
      <c r="L414" s="1216"/>
      <c r="M414" s="1216">
        <f>IF(G414&lt;&gt;"",IF(AND(G414&gt;=$M$12,G414&lt;=$N$12),1,0),0)</f>
        <v>0</v>
      </c>
      <c r="N414" s="1216"/>
      <c r="O414" s="1216"/>
      <c r="P414" s="1216"/>
      <c r="Q414" s="1216"/>
      <c r="R414" s="1216"/>
    </row>
    <row r="415" spans="2:18" s="1217" customFormat="1" x14ac:dyDescent="0.2">
      <c r="B415" s="1424" t="s">
        <v>746</v>
      </c>
      <c r="C415" s="3040"/>
      <c r="D415" s="3058"/>
      <c r="E415" s="3041"/>
      <c r="F415" s="1558"/>
      <c r="G415" s="2033"/>
      <c r="H415" s="1541">
        <v>1</v>
      </c>
      <c r="I415" s="1426">
        <f>F415*H415</f>
        <v>0</v>
      </c>
      <c r="J415" s="1390">
        <f>I415/15</f>
        <v>0</v>
      </c>
      <c r="L415" s="1216"/>
      <c r="M415" s="1216">
        <f>IF(G415&lt;&gt;"",IF(AND(G415&gt;=$M$12,G415&lt;=$N$12),1,0),0)</f>
        <v>0</v>
      </c>
      <c r="N415" s="1216"/>
      <c r="O415" s="1216"/>
      <c r="P415" s="1216"/>
      <c r="Q415" s="1216"/>
      <c r="R415" s="1216"/>
    </row>
    <row r="416" spans="2:18" s="1217" customFormat="1" x14ac:dyDescent="0.2">
      <c r="B416" s="1424" t="s">
        <v>747</v>
      </c>
      <c r="C416" s="3040"/>
      <c r="D416" s="3058"/>
      <c r="E416" s="3041"/>
      <c r="F416" s="1558"/>
      <c r="G416" s="2033"/>
      <c r="H416" s="1541">
        <v>1</v>
      </c>
      <c r="I416" s="1426">
        <f>F416*H416</f>
        <v>0</v>
      </c>
      <c r="J416" s="1390">
        <f>I416/15</f>
        <v>0</v>
      </c>
      <c r="L416" s="1216"/>
      <c r="M416" s="1216">
        <f>IF(G416&lt;&gt;"",IF(AND(G416&gt;=$M$12,G416&lt;=$N$12),1,0),0)</f>
        <v>0</v>
      </c>
      <c r="N416" s="1216"/>
      <c r="O416" s="1216"/>
      <c r="P416" s="1216"/>
      <c r="Q416" s="1216"/>
      <c r="R416" s="1216"/>
    </row>
    <row r="417" spans="2:18" s="1217" customFormat="1" x14ac:dyDescent="0.2">
      <c r="B417" s="1542"/>
      <c r="C417" s="1328"/>
      <c r="D417" s="1328"/>
      <c r="E417" s="1543"/>
      <c r="F417" s="1544"/>
      <c r="G417" s="1545">
        <f>SUM(M412:M416)</f>
        <v>0</v>
      </c>
      <c r="H417" s="1329" t="s">
        <v>456</v>
      </c>
      <c r="I417" s="1282">
        <f>SUM(I412:I416)</f>
        <v>0</v>
      </c>
      <c r="J417" s="1283">
        <f>SUM(J412:J416)</f>
        <v>0</v>
      </c>
      <c r="L417" s="1216"/>
      <c r="M417" s="1216"/>
      <c r="N417" s="1216"/>
      <c r="O417" s="1216"/>
      <c r="P417" s="1216"/>
      <c r="Q417" s="1216"/>
      <c r="R417" s="1216"/>
    </row>
    <row r="418" spans="2:18" s="1623" customFormat="1" x14ac:dyDescent="0.2">
      <c r="B418" s="1620"/>
      <c r="C418" s="1621"/>
      <c r="D418" s="1621"/>
      <c r="E418" s="1621"/>
      <c r="F418" s="1620"/>
      <c r="G418" s="1620"/>
      <c r="H418" s="1621"/>
      <c r="I418" s="1622"/>
      <c r="J418" s="1622"/>
      <c r="L418" s="1624"/>
      <c r="M418" s="1216"/>
      <c r="N418" s="1624"/>
      <c r="O418" s="1624"/>
      <c r="P418" s="1624"/>
      <c r="Q418" s="1624"/>
      <c r="R418" s="1624"/>
    </row>
    <row r="419" spans="2:18" s="1623" customFormat="1" x14ac:dyDescent="0.2">
      <c r="B419" s="1620"/>
      <c r="C419" s="1621"/>
      <c r="D419" s="1621"/>
      <c r="E419" s="1621"/>
      <c r="F419" s="1620"/>
      <c r="G419" s="1620"/>
      <c r="H419" s="1621"/>
      <c r="I419" s="1622"/>
      <c r="J419" s="1622"/>
      <c r="L419" s="1624"/>
      <c r="M419" s="1216"/>
      <c r="N419" s="1624"/>
      <c r="O419" s="1624"/>
      <c r="P419" s="1624"/>
      <c r="Q419" s="1624"/>
      <c r="R419" s="1624"/>
    </row>
    <row r="420" spans="2:18" s="1144" customFormat="1" ht="21" customHeight="1" x14ac:dyDescent="0.25">
      <c r="B420" s="1172" t="s">
        <v>1005</v>
      </c>
      <c r="C420" s="1625"/>
      <c r="D420" s="1625"/>
      <c r="E420" s="1625"/>
      <c r="F420" s="1625"/>
      <c r="G420" s="1625"/>
      <c r="H420" s="1626"/>
      <c r="I420" s="1627"/>
      <c r="J420" s="1628"/>
      <c r="K420" s="1629"/>
      <c r="L420" s="1630"/>
      <c r="M420" s="1216"/>
      <c r="N420" s="1147"/>
      <c r="O420" s="1147"/>
      <c r="P420" s="1147"/>
      <c r="Q420" s="1147"/>
      <c r="R420" s="1147"/>
    </row>
    <row r="421" spans="2:18" s="1217" customFormat="1" ht="12.75" customHeight="1" x14ac:dyDescent="0.2">
      <c r="B421" s="1631"/>
      <c r="C421" s="3052" t="s">
        <v>862</v>
      </c>
      <c r="D421" s="3053"/>
      <c r="E421" s="3053"/>
      <c r="F421" s="3054"/>
      <c r="G421" s="1272" t="s">
        <v>928</v>
      </c>
      <c r="H421" s="1536" t="s">
        <v>638</v>
      </c>
      <c r="I421" s="1632" t="s">
        <v>639</v>
      </c>
      <c r="J421" s="1633" t="s">
        <v>639</v>
      </c>
      <c r="L421" s="1216"/>
      <c r="M421" s="1216"/>
      <c r="N421" s="1216"/>
      <c r="O421" s="1216"/>
      <c r="P421" s="1216"/>
      <c r="Q421" s="1216"/>
      <c r="R421" s="1216"/>
    </row>
    <row r="422" spans="2:18" s="1217" customFormat="1" x14ac:dyDescent="0.2">
      <c r="B422" s="1356"/>
      <c r="C422" s="3123"/>
      <c r="D422" s="3124"/>
      <c r="E422" s="3124"/>
      <c r="F422" s="1586"/>
      <c r="G422" s="1568" t="s">
        <v>1245</v>
      </c>
      <c r="H422" s="1569" t="s">
        <v>644</v>
      </c>
      <c r="I422" s="1569" t="s">
        <v>641</v>
      </c>
      <c r="J422" s="1570" t="s">
        <v>510</v>
      </c>
      <c r="L422" s="1216"/>
      <c r="M422" s="1216"/>
      <c r="N422" s="1216"/>
      <c r="O422" s="1216"/>
      <c r="P422" s="1216"/>
      <c r="Q422" s="1216"/>
      <c r="R422" s="1216"/>
    </row>
    <row r="423" spans="2:18" s="1217" customFormat="1" x14ac:dyDescent="0.2">
      <c r="B423" s="1424" t="s">
        <v>743</v>
      </c>
      <c r="C423" s="3040"/>
      <c r="D423" s="3058"/>
      <c r="E423" s="3058"/>
      <c r="F423" s="3041"/>
      <c r="G423" s="2031"/>
      <c r="H423" s="1492">
        <v>60</v>
      </c>
      <c r="I423" s="1426">
        <f>IF(C423&lt;&gt;"",H423,0)</f>
        <v>0</v>
      </c>
      <c r="J423" s="1390">
        <f>I423/15</f>
        <v>0</v>
      </c>
      <c r="L423" s="1216"/>
      <c r="M423" s="1216">
        <f>IF(G423&lt;&gt;"",IF(AND(G423&gt;=$M$12,G423&lt;=$N$12),1,0),0)</f>
        <v>0</v>
      </c>
      <c r="N423" s="1216"/>
      <c r="O423" s="1216"/>
      <c r="P423" s="1216"/>
      <c r="Q423" s="1216"/>
      <c r="R423" s="1216"/>
    </row>
    <row r="424" spans="2:18" s="1217" customFormat="1" x14ac:dyDescent="0.2">
      <c r="B424" s="1424" t="s">
        <v>744</v>
      </c>
      <c r="C424" s="3040"/>
      <c r="D424" s="3058"/>
      <c r="E424" s="3058"/>
      <c r="F424" s="3041"/>
      <c r="G424" s="2031"/>
      <c r="H424" s="1492">
        <v>60</v>
      </c>
      <c r="I424" s="1426">
        <f>IF(C424&lt;&gt;"",H424,0)</f>
        <v>0</v>
      </c>
      <c r="J424" s="1390">
        <f>I424/15</f>
        <v>0</v>
      </c>
      <c r="L424" s="1216"/>
      <c r="M424" s="1216">
        <f>IF(G424&lt;&gt;"",IF(AND(G424&gt;=$M$12,G424&lt;=$N$12),1,0),0)</f>
        <v>0</v>
      </c>
      <c r="N424" s="1216"/>
      <c r="O424" s="1216"/>
      <c r="P424" s="1216"/>
      <c r="Q424" s="1216"/>
      <c r="R424" s="1216"/>
    </row>
    <row r="425" spans="2:18" s="1217" customFormat="1" x14ac:dyDescent="0.2">
      <c r="B425" s="1424" t="s">
        <v>745</v>
      </c>
      <c r="C425" s="3040"/>
      <c r="D425" s="3058"/>
      <c r="E425" s="3058"/>
      <c r="F425" s="3041"/>
      <c r="G425" s="2031"/>
      <c r="H425" s="1492">
        <v>60</v>
      </c>
      <c r="I425" s="1426">
        <f>IF(C425&lt;&gt;"",H425,0)</f>
        <v>0</v>
      </c>
      <c r="J425" s="1390">
        <f>I425/15</f>
        <v>0</v>
      </c>
      <c r="L425" s="1216"/>
      <c r="M425" s="1216">
        <f>IF(G425&lt;&gt;"",IF(AND(G425&gt;=$M$12,G425&lt;=$N$12),1,0),0)</f>
        <v>0</v>
      </c>
      <c r="N425" s="1216"/>
      <c r="O425" s="1216"/>
      <c r="P425" s="1216"/>
      <c r="Q425" s="1216"/>
      <c r="R425" s="1216"/>
    </row>
    <row r="426" spans="2:18" s="1217" customFormat="1" x14ac:dyDescent="0.2">
      <c r="B426" s="1424" t="s">
        <v>746</v>
      </c>
      <c r="C426" s="3040"/>
      <c r="D426" s="3058"/>
      <c r="E426" s="3058"/>
      <c r="F426" s="3041"/>
      <c r="G426" s="2031"/>
      <c r="H426" s="1492">
        <v>60</v>
      </c>
      <c r="I426" s="1426">
        <f>IF(C426&lt;&gt;"",H426,0)</f>
        <v>0</v>
      </c>
      <c r="J426" s="1390">
        <f>I426/15</f>
        <v>0</v>
      </c>
      <c r="L426" s="1216"/>
      <c r="M426" s="1216">
        <f>IF(G426&lt;&gt;"",IF(AND(G426&gt;=$M$12,G426&lt;=$N$12),1,0),0)</f>
        <v>0</v>
      </c>
      <c r="N426" s="1216"/>
      <c r="O426" s="1216"/>
      <c r="P426" s="1216"/>
      <c r="Q426" s="1216"/>
      <c r="R426" s="1216"/>
    </row>
    <row r="427" spans="2:18" s="1217" customFormat="1" x14ac:dyDescent="0.2">
      <c r="B427" s="1424" t="s">
        <v>747</v>
      </c>
      <c r="C427" s="3040"/>
      <c r="D427" s="3058"/>
      <c r="E427" s="3058"/>
      <c r="F427" s="3041"/>
      <c r="G427" s="2031"/>
      <c r="H427" s="1492">
        <v>60</v>
      </c>
      <c r="I427" s="1426">
        <f>IF(C427&lt;&gt;"",H427,0)</f>
        <v>0</v>
      </c>
      <c r="J427" s="1390">
        <f>I427/15</f>
        <v>0</v>
      </c>
      <c r="L427" s="1216"/>
      <c r="M427" s="1216">
        <f>IF(G427&lt;&gt;"",IF(AND(G427&gt;=$M$12,G427&lt;=$N$12),1,0),0)</f>
        <v>0</v>
      </c>
      <c r="N427" s="1216"/>
      <c r="O427" s="1216"/>
      <c r="P427" s="1216"/>
      <c r="Q427" s="1216"/>
      <c r="R427" s="1216"/>
    </row>
    <row r="428" spans="2:18" s="1217" customFormat="1" x14ac:dyDescent="0.2">
      <c r="B428" s="1542"/>
      <c r="C428" s="1328"/>
      <c r="D428" s="1328"/>
      <c r="E428" s="1543"/>
      <c r="F428" s="1544"/>
      <c r="G428" s="1545">
        <f>SUM(M423:M427)</f>
        <v>0</v>
      </c>
      <c r="H428" s="1329" t="s">
        <v>456</v>
      </c>
      <c r="I428" s="1282">
        <f>SUM(I423:I427)</f>
        <v>0</v>
      </c>
      <c r="J428" s="1283">
        <f>SUM(J423:J427)</f>
        <v>0</v>
      </c>
      <c r="L428" s="1216"/>
      <c r="M428" s="1216"/>
      <c r="N428" s="1216"/>
      <c r="O428" s="1216"/>
      <c r="P428" s="1216"/>
      <c r="Q428" s="1216"/>
      <c r="R428" s="1216"/>
    </row>
    <row r="429" spans="2:18" s="1334" customFormat="1" ht="10.5" customHeight="1" x14ac:dyDescent="0.2">
      <c r="B429" s="1335"/>
      <c r="C429" s="1336"/>
      <c r="D429" s="1336"/>
      <c r="E429" s="1336"/>
      <c r="F429" s="1634"/>
      <c r="G429" s="1634"/>
      <c r="H429" s="1338"/>
      <c r="I429" s="1339"/>
      <c r="J429" s="1339"/>
      <c r="L429" s="1571"/>
      <c r="M429" s="1216"/>
      <c r="N429" s="1571"/>
      <c r="O429" s="1571"/>
      <c r="P429" s="1571"/>
      <c r="Q429" s="1571"/>
      <c r="R429" s="1571"/>
    </row>
    <row r="430" spans="2:18" s="1334" customFormat="1" ht="9.75" customHeight="1" x14ac:dyDescent="0.2">
      <c r="B430" s="1552"/>
      <c r="C430" s="1553"/>
      <c r="D430" s="1553"/>
      <c r="E430" s="1553"/>
      <c r="F430" s="1555"/>
      <c r="G430" s="1555"/>
      <c r="H430" s="1635"/>
      <c r="I430" s="1557"/>
      <c r="J430" s="1557"/>
      <c r="L430" s="1571"/>
      <c r="M430" s="1216"/>
      <c r="N430" s="1571"/>
      <c r="O430" s="1571"/>
      <c r="P430" s="1571"/>
      <c r="Q430" s="1571"/>
      <c r="R430" s="1571"/>
    </row>
    <row r="431" spans="2:18" s="1144" customFormat="1" ht="21" customHeight="1" x14ac:dyDescent="0.25">
      <c r="B431" s="1172" t="s">
        <v>1006</v>
      </c>
      <c r="C431" s="1534"/>
      <c r="D431" s="1534"/>
      <c r="E431" s="1174"/>
      <c r="F431" s="1176"/>
      <c r="G431" s="1176"/>
      <c r="H431" s="1176"/>
      <c r="I431" s="1176"/>
      <c r="J431" s="1535"/>
      <c r="L431" s="1147"/>
      <c r="M431" s="1216"/>
      <c r="N431" s="1147"/>
      <c r="O431" s="1147"/>
      <c r="P431" s="1147"/>
      <c r="Q431" s="1147"/>
      <c r="R431" s="1147"/>
    </row>
    <row r="432" spans="2:18" s="1198" customFormat="1" x14ac:dyDescent="0.2">
      <c r="B432" s="1271"/>
      <c r="C432" s="3052" t="s">
        <v>1007</v>
      </c>
      <c r="D432" s="3053"/>
      <c r="E432" s="3054"/>
      <c r="F432" s="1471" t="s">
        <v>759</v>
      </c>
      <c r="G432" s="1272" t="s">
        <v>928</v>
      </c>
      <c r="H432" s="1536" t="s">
        <v>638</v>
      </c>
      <c r="I432" s="1537" t="s">
        <v>639</v>
      </c>
      <c r="J432" s="1538" t="s">
        <v>639</v>
      </c>
      <c r="L432" s="1196"/>
      <c r="M432" s="1216"/>
      <c r="N432" s="1196"/>
      <c r="O432" s="1196"/>
      <c r="P432" s="1196"/>
      <c r="Q432" s="1196"/>
      <c r="R432" s="1196"/>
    </row>
    <row r="433" spans="1:18" s="1209" customFormat="1" x14ac:dyDescent="0.2">
      <c r="B433" s="1199"/>
      <c r="C433" s="1200"/>
      <c r="D433" s="1539"/>
      <c r="E433" s="1581"/>
      <c r="F433" s="1201" t="s">
        <v>1008</v>
      </c>
      <c r="G433" s="1568" t="s">
        <v>1245</v>
      </c>
      <c r="H433" s="1569" t="s">
        <v>644</v>
      </c>
      <c r="I433" s="1320" t="s">
        <v>641</v>
      </c>
      <c r="J433" s="1321" t="s">
        <v>510</v>
      </c>
      <c r="L433" s="1207"/>
      <c r="M433" s="1216"/>
      <c r="N433" s="1207"/>
      <c r="O433" s="1207"/>
      <c r="P433" s="1207"/>
      <c r="Q433" s="1207"/>
      <c r="R433" s="1207"/>
    </row>
    <row r="434" spans="1:18" s="1217" customFormat="1" x14ac:dyDescent="0.2">
      <c r="B434" s="1424" t="s">
        <v>743</v>
      </c>
      <c r="C434" s="3040"/>
      <c r="D434" s="3058"/>
      <c r="E434" s="3041"/>
      <c r="F434" s="1558"/>
      <c r="G434" s="2033"/>
      <c r="H434" s="1426">
        <v>0.33</v>
      </c>
      <c r="I434" s="1426">
        <f>F434*H434</f>
        <v>0</v>
      </c>
      <c r="J434" s="1390">
        <f>I434/15</f>
        <v>0</v>
      </c>
      <c r="L434" s="1216"/>
      <c r="M434" s="1216">
        <f>IF(G434&lt;&gt;"",IF(AND(G434&gt;=$M$12,G434&lt;=$N$12),1,0),0)</f>
        <v>0</v>
      </c>
      <c r="N434" s="1216"/>
      <c r="O434" s="1216"/>
      <c r="P434" s="1216"/>
      <c r="Q434" s="1216"/>
      <c r="R434" s="1216"/>
    </row>
    <row r="435" spans="1:18" s="1217" customFormat="1" x14ac:dyDescent="0.2">
      <c r="B435" s="1424" t="s">
        <v>744</v>
      </c>
      <c r="C435" s="3040"/>
      <c r="D435" s="3058"/>
      <c r="E435" s="3041"/>
      <c r="F435" s="1558"/>
      <c r="G435" s="2033"/>
      <c r="H435" s="1426">
        <v>0.33</v>
      </c>
      <c r="I435" s="1426">
        <f>F435*H435</f>
        <v>0</v>
      </c>
      <c r="J435" s="1390">
        <f>I435/15</f>
        <v>0</v>
      </c>
      <c r="L435" s="1216"/>
      <c r="M435" s="1216">
        <f>IF(G435&lt;&gt;"",IF(AND(G435&gt;=$M$12,G435&lt;=$N$12),1,0),0)</f>
        <v>0</v>
      </c>
      <c r="N435" s="1216"/>
      <c r="O435" s="1216"/>
      <c r="P435" s="1216"/>
      <c r="Q435" s="1216"/>
      <c r="R435" s="1216"/>
    </row>
    <row r="436" spans="1:18" s="1217" customFormat="1" x14ac:dyDescent="0.2">
      <c r="B436" s="1424" t="s">
        <v>745</v>
      </c>
      <c r="C436" s="3040"/>
      <c r="D436" s="3058"/>
      <c r="E436" s="3041"/>
      <c r="F436" s="1558"/>
      <c r="G436" s="2033"/>
      <c r="H436" s="1426">
        <v>0.33</v>
      </c>
      <c r="I436" s="1426">
        <f>F436*H436</f>
        <v>0</v>
      </c>
      <c r="J436" s="1390">
        <f>I436/15</f>
        <v>0</v>
      </c>
      <c r="L436" s="1216"/>
      <c r="M436" s="1216">
        <f>IF(G436&lt;&gt;"",IF(AND(G436&gt;=$M$12,G436&lt;=$N$12),1,0),0)</f>
        <v>0</v>
      </c>
      <c r="N436" s="1216"/>
      <c r="O436" s="1216"/>
      <c r="P436" s="1216"/>
      <c r="Q436" s="1216"/>
      <c r="R436" s="1216"/>
    </row>
    <row r="437" spans="1:18" s="1217" customFormat="1" x14ac:dyDescent="0.2">
      <c r="B437" s="1424" t="s">
        <v>746</v>
      </c>
      <c r="C437" s="3040"/>
      <c r="D437" s="3058"/>
      <c r="E437" s="3041"/>
      <c r="F437" s="1558"/>
      <c r="G437" s="2033"/>
      <c r="H437" s="1426">
        <v>0.33</v>
      </c>
      <c r="I437" s="1426">
        <f>F437*H437</f>
        <v>0</v>
      </c>
      <c r="J437" s="1390">
        <f>I437/15</f>
        <v>0</v>
      </c>
      <c r="L437" s="1216"/>
      <c r="M437" s="1216">
        <f>IF(G437&lt;&gt;"",IF(AND(G437&gt;=$M$12,G437&lt;=$N$12),1,0),0)</f>
        <v>0</v>
      </c>
      <c r="N437" s="1216"/>
      <c r="O437" s="1216"/>
      <c r="P437" s="1216"/>
      <c r="Q437" s="1216"/>
      <c r="R437" s="1216"/>
    </row>
    <row r="438" spans="1:18" s="1217" customFormat="1" x14ac:dyDescent="0.2">
      <c r="B438" s="1424" t="s">
        <v>747</v>
      </c>
      <c r="C438" s="3040"/>
      <c r="D438" s="3058"/>
      <c r="E438" s="3041"/>
      <c r="F438" s="1558"/>
      <c r="G438" s="2033"/>
      <c r="H438" s="1426">
        <v>0.33</v>
      </c>
      <c r="I438" s="1426">
        <f>F438*H438</f>
        <v>0</v>
      </c>
      <c r="J438" s="1390">
        <f>I438/15</f>
        <v>0</v>
      </c>
      <c r="L438" s="1216"/>
      <c r="M438" s="1216">
        <f>IF(G438&lt;&gt;"",IF(AND(G438&gt;=$M$12,G438&lt;=$N$12),1,0),0)</f>
        <v>0</v>
      </c>
      <c r="N438" s="1216"/>
      <c r="O438" s="1216"/>
      <c r="P438" s="1216"/>
      <c r="Q438" s="1216"/>
      <c r="R438" s="1216"/>
    </row>
    <row r="439" spans="1:18" s="1217" customFormat="1" x14ac:dyDescent="0.2">
      <c r="B439" s="1542"/>
      <c r="C439" s="1328"/>
      <c r="D439" s="1328"/>
      <c r="E439" s="1543"/>
      <c r="F439" s="1544"/>
      <c r="G439" s="1545">
        <f>SUM(M434:M438)</f>
        <v>0</v>
      </c>
      <c r="H439" s="1329" t="s">
        <v>456</v>
      </c>
      <c r="I439" s="1282">
        <f>SUM(I434:I438)</f>
        <v>0</v>
      </c>
      <c r="J439" s="1283">
        <f>SUM(J434:J438)</f>
        <v>0</v>
      </c>
      <c r="L439" s="1216"/>
      <c r="M439" s="1216"/>
      <c r="N439" s="1216"/>
      <c r="O439" s="1216"/>
      <c r="P439" s="1216"/>
      <c r="Q439" s="1216"/>
      <c r="R439" s="1216"/>
    </row>
    <row r="440" spans="1:18" s="1304" customFormat="1" ht="9.75" customHeight="1" x14ac:dyDescent="0.2">
      <c r="B440" s="1502"/>
      <c r="C440" s="1564"/>
      <c r="D440" s="1564"/>
      <c r="E440" s="1564"/>
      <c r="F440" s="1502"/>
      <c r="G440" s="1502"/>
      <c r="H440" s="1564"/>
      <c r="I440" s="1565"/>
      <c r="J440" s="1565"/>
      <c r="L440" s="1302"/>
      <c r="M440" s="1216"/>
      <c r="N440" s="1302"/>
      <c r="O440" s="1302"/>
      <c r="P440" s="1302"/>
      <c r="Q440" s="1302"/>
      <c r="R440" s="1302"/>
    </row>
    <row r="441" spans="1:18" s="1334" customFormat="1" ht="10.5" customHeight="1" x14ac:dyDescent="0.2">
      <c r="B441" s="1857"/>
      <c r="C441" s="1564"/>
      <c r="D441" s="1564"/>
      <c r="E441" s="1502"/>
      <c r="F441" s="1502"/>
      <c r="G441" s="1564"/>
      <c r="H441" s="1565"/>
      <c r="I441" s="1565"/>
      <c r="K441" s="1571"/>
      <c r="L441" s="1362"/>
      <c r="M441" s="1571"/>
      <c r="N441" s="1571"/>
      <c r="O441" s="1571"/>
      <c r="P441" s="1571"/>
      <c r="Q441" s="1571"/>
    </row>
    <row r="442" spans="1:18" s="1144" customFormat="1" ht="21" customHeight="1" x14ac:dyDescent="0.25">
      <c r="A442" s="1769"/>
      <c r="B442" s="1172" t="s">
        <v>1216</v>
      </c>
      <c r="C442" s="1895"/>
      <c r="D442" s="1895"/>
      <c r="E442" s="1896"/>
      <c r="F442" s="1897"/>
      <c r="G442" s="1897"/>
      <c r="H442" s="1897"/>
      <c r="I442" s="1897"/>
      <c r="J442" s="1898"/>
      <c r="K442" s="1771"/>
      <c r="L442" s="1147"/>
      <c r="M442" s="1216"/>
      <c r="N442" s="1147"/>
      <c r="O442" s="1147"/>
      <c r="P442" s="1630"/>
      <c r="Q442" s="1630"/>
      <c r="R442" s="1147"/>
    </row>
    <row r="443" spans="1:18" s="1198" customFormat="1" x14ac:dyDescent="0.2">
      <c r="B443" s="1271"/>
      <c r="C443" s="1892" t="s">
        <v>14</v>
      </c>
      <c r="D443" s="1471" t="s">
        <v>914</v>
      </c>
      <c r="E443" s="1272" t="s">
        <v>759</v>
      </c>
      <c r="F443" s="1577" t="s">
        <v>1009</v>
      </c>
      <c r="G443" s="1577" t="s">
        <v>1010</v>
      </c>
      <c r="H443" s="1536" t="s">
        <v>638</v>
      </c>
      <c r="I443" s="1537" t="s">
        <v>639</v>
      </c>
      <c r="J443" s="1538" t="s">
        <v>639</v>
      </c>
      <c r="L443" s="1196"/>
      <c r="M443" s="1196"/>
      <c r="N443" s="1196"/>
      <c r="O443" s="1196"/>
      <c r="P443" s="1196"/>
      <c r="Q443" s="1196"/>
      <c r="R443" s="1196"/>
    </row>
    <row r="444" spans="1:18" s="1209" customFormat="1" x14ac:dyDescent="0.2">
      <c r="B444" s="1199"/>
      <c r="C444" s="1894"/>
      <c r="D444" s="1201"/>
      <c r="E444" s="1201" t="s">
        <v>1214</v>
      </c>
      <c r="F444" s="1540" t="s">
        <v>1245</v>
      </c>
      <c r="G444" s="1540" t="s">
        <v>1245</v>
      </c>
      <c r="H444" s="1320" t="s">
        <v>644</v>
      </c>
      <c r="I444" s="1320" t="s">
        <v>641</v>
      </c>
      <c r="J444" s="1321" t="s">
        <v>510</v>
      </c>
      <c r="L444" s="1207"/>
      <c r="M444" s="1207"/>
      <c r="N444" s="1207"/>
      <c r="O444" s="1207"/>
      <c r="P444" s="1207"/>
      <c r="Q444" s="1207"/>
      <c r="R444" s="1207"/>
    </row>
    <row r="445" spans="1:18" s="1217" customFormat="1" x14ac:dyDescent="0.2">
      <c r="B445" s="1424" t="s">
        <v>743</v>
      </c>
      <c r="C445" s="1891"/>
      <c r="D445" s="1558"/>
      <c r="E445" s="1558"/>
      <c r="F445" s="2033"/>
      <c r="G445" s="2033"/>
      <c r="H445" s="1541">
        <v>3</v>
      </c>
      <c r="I445" s="1426">
        <f>D445*E445*H445</f>
        <v>0</v>
      </c>
      <c r="J445" s="1390">
        <f>I445/15</f>
        <v>0</v>
      </c>
      <c r="L445" s="1216"/>
      <c r="M445" s="1216">
        <f>IF(F445&lt;&gt;"",IF(F445&lt;$M$12,0,1),0)</f>
        <v>0</v>
      </c>
      <c r="N445" s="1216">
        <f>IF(G445&lt;&gt;"",IF(G445&gt;$N$12,1,IF(G445&gt;=$M$12,1,0)),0)</f>
        <v>0</v>
      </c>
      <c r="O445" s="1216">
        <f>IF(OR(M445=1,N445=1),1,0)</f>
        <v>0</v>
      </c>
      <c r="P445" s="1216"/>
      <c r="Q445" s="1216"/>
      <c r="R445" s="1216"/>
    </row>
    <row r="446" spans="1:18" s="1217" customFormat="1" x14ac:dyDescent="0.2">
      <c r="B446" s="1424" t="s">
        <v>744</v>
      </c>
      <c r="C446" s="1891"/>
      <c r="D446" s="1558"/>
      <c r="E446" s="1558"/>
      <c r="F446" s="2033"/>
      <c r="G446" s="2033"/>
      <c r="H446" s="1541">
        <v>3</v>
      </c>
      <c r="I446" s="1426">
        <f>D446*E446*H446</f>
        <v>0</v>
      </c>
      <c r="J446" s="1390">
        <f>I446/15</f>
        <v>0</v>
      </c>
      <c r="L446" s="1216"/>
      <c r="M446" s="1216">
        <f t="shared" ref="M446:M449" si="72">IF(F446&lt;&gt;"",IF(F446&lt;$M$12,0,1),0)</f>
        <v>0</v>
      </c>
      <c r="N446" s="1216">
        <f t="shared" ref="N446:N449" si="73">IF(G446&lt;&gt;"",IF(G446&gt;$N$12,1,IF(G446&gt;=$M$12,1,0)),0)</f>
        <v>0</v>
      </c>
      <c r="O446" s="1216">
        <f t="shared" ref="O446:O449" si="74">IF(OR(M446=1,N446=1),1,0)</f>
        <v>0</v>
      </c>
      <c r="P446" s="1216"/>
      <c r="Q446" s="1216"/>
      <c r="R446" s="1216"/>
    </row>
    <row r="447" spans="1:18" s="1217" customFormat="1" x14ac:dyDescent="0.2">
      <c r="B447" s="1424" t="s">
        <v>745</v>
      </c>
      <c r="C447" s="1891"/>
      <c r="D447" s="1558"/>
      <c r="E447" s="1558"/>
      <c r="F447" s="2033"/>
      <c r="G447" s="2033"/>
      <c r="H447" s="1541">
        <v>3</v>
      </c>
      <c r="I447" s="1426">
        <f t="shared" ref="I447:I449" si="75">D447*E447*H447</f>
        <v>0</v>
      </c>
      <c r="J447" s="1390">
        <f>I447/15</f>
        <v>0</v>
      </c>
      <c r="L447" s="1216"/>
      <c r="M447" s="1216">
        <f t="shared" si="72"/>
        <v>0</v>
      </c>
      <c r="N447" s="1216">
        <f t="shared" si="73"/>
        <v>0</v>
      </c>
      <c r="O447" s="1216">
        <f t="shared" si="74"/>
        <v>0</v>
      </c>
      <c r="P447" s="1216"/>
      <c r="Q447" s="1216"/>
      <c r="R447" s="1216"/>
    </row>
    <row r="448" spans="1:18" s="1217" customFormat="1" x14ac:dyDescent="0.2">
      <c r="B448" s="1424" t="s">
        <v>746</v>
      </c>
      <c r="C448" s="1891"/>
      <c r="D448" s="1558"/>
      <c r="E448" s="1558"/>
      <c r="F448" s="2033"/>
      <c r="G448" s="2033"/>
      <c r="H448" s="1541">
        <v>3</v>
      </c>
      <c r="I448" s="1426">
        <f t="shared" si="75"/>
        <v>0</v>
      </c>
      <c r="J448" s="1390">
        <f>I448/15</f>
        <v>0</v>
      </c>
      <c r="L448" s="1216"/>
      <c r="M448" s="1216">
        <f t="shared" si="72"/>
        <v>0</v>
      </c>
      <c r="N448" s="1216">
        <f t="shared" si="73"/>
        <v>0</v>
      </c>
      <c r="O448" s="1216">
        <f t="shared" si="74"/>
        <v>0</v>
      </c>
      <c r="P448" s="1216"/>
      <c r="Q448" s="1216"/>
      <c r="R448" s="1216"/>
    </row>
    <row r="449" spans="1:18" s="1217" customFormat="1" x14ac:dyDescent="0.2">
      <c r="B449" s="1424" t="s">
        <v>747</v>
      </c>
      <c r="C449" s="1891"/>
      <c r="D449" s="1558"/>
      <c r="E449" s="1558"/>
      <c r="F449" s="2033"/>
      <c r="G449" s="2033"/>
      <c r="H449" s="1541">
        <v>3</v>
      </c>
      <c r="I449" s="1426">
        <f t="shared" si="75"/>
        <v>0</v>
      </c>
      <c r="J449" s="1390">
        <f>I449/15</f>
        <v>0</v>
      </c>
      <c r="L449" s="1216"/>
      <c r="M449" s="1216">
        <f t="shared" si="72"/>
        <v>0</v>
      </c>
      <c r="N449" s="1216">
        <f t="shared" si="73"/>
        <v>0</v>
      </c>
      <c r="O449" s="1216">
        <f t="shared" si="74"/>
        <v>0</v>
      </c>
      <c r="P449" s="1216"/>
      <c r="Q449" s="1216"/>
      <c r="R449" s="1216"/>
    </row>
    <row r="450" spans="1:18" s="1217" customFormat="1" x14ac:dyDescent="0.2">
      <c r="B450" s="1542"/>
      <c r="C450" s="1328"/>
      <c r="D450" s="1328"/>
      <c r="E450" s="1543"/>
      <c r="F450" s="1544"/>
      <c r="G450" s="1545">
        <f>SUM(O445:O449)</f>
        <v>0</v>
      </c>
      <c r="H450" s="1329" t="s">
        <v>456</v>
      </c>
      <c r="I450" s="1282">
        <f>SUM(I445:I449)</f>
        <v>0</v>
      </c>
      <c r="J450" s="1283">
        <f>SUM(J445:J449)</f>
        <v>0</v>
      </c>
      <c r="L450" s="1216"/>
      <c r="M450" s="1216"/>
      <c r="N450" s="1216"/>
      <c r="O450" s="1216"/>
      <c r="P450" s="1216"/>
      <c r="Q450" s="1216"/>
      <c r="R450" s="1216"/>
    </row>
    <row r="451" spans="1:18" s="1304" customFormat="1" x14ac:dyDescent="0.2">
      <c r="A451" s="1770"/>
      <c r="B451" s="1502"/>
      <c r="C451" s="1564"/>
      <c r="D451" s="1564"/>
      <c r="E451" s="1564"/>
      <c r="F451" s="1502"/>
      <c r="G451" s="1502"/>
      <c r="H451" s="1564"/>
      <c r="I451" s="1565"/>
      <c r="J451" s="1565"/>
      <c r="K451" s="1334"/>
      <c r="L451" s="1302"/>
      <c r="M451" s="1216"/>
      <c r="N451" s="1302"/>
      <c r="O451" s="1302"/>
      <c r="P451" s="1571"/>
      <c r="Q451" s="1571"/>
      <c r="R451" s="1302"/>
    </row>
    <row r="452" spans="1:18" s="1304" customFormat="1" x14ac:dyDescent="0.2">
      <c r="B452" s="1636"/>
      <c r="C452" s="1637"/>
      <c r="D452" s="1637"/>
      <c r="E452" s="1636"/>
      <c r="F452" s="1636"/>
      <c r="G452" s="1637"/>
      <c r="H452" s="1638"/>
      <c r="I452" s="1638"/>
      <c r="K452" s="1571"/>
      <c r="L452" s="1216"/>
      <c r="M452" s="1302"/>
      <c r="N452" s="1302"/>
      <c r="O452" s="1302"/>
      <c r="P452" s="1571"/>
      <c r="Q452" s="1571"/>
    </row>
    <row r="453" spans="1:18" s="1144" customFormat="1" ht="21" customHeight="1" x14ac:dyDescent="0.25">
      <c r="B453" s="1172" t="s">
        <v>1203</v>
      </c>
      <c r="C453" s="1534"/>
      <c r="D453" s="1534"/>
      <c r="E453" s="1174"/>
      <c r="F453" s="1176"/>
      <c r="G453" s="1176"/>
      <c r="H453" s="1176"/>
      <c r="I453" s="1176"/>
      <c r="J453" s="1535"/>
      <c r="L453" s="1147"/>
      <c r="M453" s="1216"/>
      <c r="N453" s="1147"/>
      <c r="O453" s="1147"/>
      <c r="P453" s="1630"/>
      <c r="Q453" s="1630"/>
      <c r="R453" s="1147"/>
    </row>
    <row r="454" spans="1:18" s="1198" customFormat="1" x14ac:dyDescent="0.2">
      <c r="B454" s="1271"/>
      <c r="C454" s="3052" t="s">
        <v>14</v>
      </c>
      <c r="D454" s="3053"/>
      <c r="E454" s="3054"/>
      <c r="F454" s="1471" t="s">
        <v>759</v>
      </c>
      <c r="G454" s="1272" t="s">
        <v>928</v>
      </c>
      <c r="H454" s="1536" t="s">
        <v>638</v>
      </c>
      <c r="I454" s="1537" t="s">
        <v>639</v>
      </c>
      <c r="J454" s="1538" t="s">
        <v>639</v>
      </c>
      <c r="L454" s="1196"/>
      <c r="M454" s="1216"/>
      <c r="N454" s="1196"/>
      <c r="O454" s="1196"/>
      <c r="P454" s="1866"/>
      <c r="Q454" s="1866"/>
      <c r="R454" s="1196"/>
    </row>
    <row r="455" spans="1:18" s="1209" customFormat="1" x14ac:dyDescent="0.2">
      <c r="B455" s="1199"/>
      <c r="C455" s="1200"/>
      <c r="D455" s="1539"/>
      <c r="E455" s="1581"/>
      <c r="F455" s="1201" t="s">
        <v>1004</v>
      </c>
      <c r="G455" s="1568" t="s">
        <v>1245</v>
      </c>
      <c r="H455" s="1569" t="s">
        <v>644</v>
      </c>
      <c r="I455" s="1320" t="s">
        <v>641</v>
      </c>
      <c r="J455" s="1321" t="s">
        <v>510</v>
      </c>
      <c r="L455" s="1207"/>
      <c r="M455" s="1216"/>
      <c r="N455" s="1207"/>
      <c r="O455" s="1207"/>
      <c r="P455" s="1207"/>
      <c r="Q455" s="1207"/>
      <c r="R455" s="1207"/>
    </row>
    <row r="456" spans="1:18" s="1217" customFormat="1" x14ac:dyDescent="0.2">
      <c r="B456" s="1424" t="s">
        <v>743</v>
      </c>
      <c r="C456" s="3040"/>
      <c r="D456" s="3058"/>
      <c r="E456" s="3041"/>
      <c r="F456" s="1558"/>
      <c r="G456" s="2033"/>
      <c r="H456" s="1541">
        <v>1</v>
      </c>
      <c r="I456" s="1426">
        <f>F456*H456</f>
        <v>0</v>
      </c>
      <c r="J456" s="1390">
        <f>I456/15</f>
        <v>0</v>
      </c>
      <c r="L456" s="1216"/>
      <c r="M456" s="1216">
        <f>IF(G456&lt;&gt;"",IF(AND(G456&gt;=$M$12,G456&lt;=$N$12),1,0),0)</f>
        <v>0</v>
      </c>
      <c r="N456" s="1216"/>
      <c r="O456" s="1216"/>
      <c r="P456" s="1216"/>
      <c r="Q456" s="1216"/>
      <c r="R456" s="1216"/>
    </row>
    <row r="457" spans="1:18" s="1217" customFormat="1" x14ac:dyDescent="0.2">
      <c r="B457" s="1424" t="s">
        <v>744</v>
      </c>
      <c r="C457" s="3040"/>
      <c r="D457" s="3058"/>
      <c r="E457" s="3041"/>
      <c r="F457" s="1558"/>
      <c r="G457" s="2033"/>
      <c r="H457" s="1541">
        <v>1</v>
      </c>
      <c r="I457" s="1426">
        <f>F457*H457</f>
        <v>0</v>
      </c>
      <c r="J457" s="1390">
        <f>I457/15</f>
        <v>0</v>
      </c>
      <c r="L457" s="1216"/>
      <c r="M457" s="1216">
        <f>IF(G457&lt;&gt;"",IF(AND(G457&gt;=$M$12,G457&lt;=$N$12),1,0),0)</f>
        <v>0</v>
      </c>
      <c r="N457" s="1216"/>
      <c r="O457" s="1216"/>
      <c r="P457" s="1216"/>
      <c r="Q457" s="1216"/>
      <c r="R457" s="1216"/>
    </row>
    <row r="458" spans="1:18" s="1217" customFormat="1" x14ac:dyDescent="0.2">
      <c r="B458" s="1424" t="s">
        <v>745</v>
      </c>
      <c r="C458" s="3040"/>
      <c r="D458" s="3058"/>
      <c r="E458" s="3041"/>
      <c r="F458" s="1558"/>
      <c r="G458" s="2033"/>
      <c r="H458" s="1541">
        <v>1</v>
      </c>
      <c r="I458" s="1426">
        <f>F458*H458</f>
        <v>0</v>
      </c>
      <c r="J458" s="1390">
        <f>I458/15</f>
        <v>0</v>
      </c>
      <c r="L458" s="1216"/>
      <c r="M458" s="1216">
        <f>IF(G458&lt;&gt;"",IF(AND(G458&gt;=$M$12,G458&lt;=$N$12),1,0),0)</f>
        <v>0</v>
      </c>
      <c r="N458" s="1216"/>
      <c r="O458" s="1216"/>
      <c r="P458" s="1216"/>
      <c r="Q458" s="1216"/>
      <c r="R458" s="1216"/>
    </row>
    <row r="459" spans="1:18" s="1217" customFormat="1" x14ac:dyDescent="0.2">
      <c r="B459" s="1424" t="s">
        <v>746</v>
      </c>
      <c r="C459" s="3040"/>
      <c r="D459" s="3058"/>
      <c r="E459" s="3041"/>
      <c r="F459" s="1558"/>
      <c r="G459" s="2033"/>
      <c r="H459" s="1541">
        <v>1</v>
      </c>
      <c r="I459" s="1426">
        <f>F459*H459</f>
        <v>0</v>
      </c>
      <c r="J459" s="1390">
        <f>I459/15</f>
        <v>0</v>
      </c>
      <c r="L459" s="1216"/>
      <c r="M459" s="1216">
        <f>IF(G459&lt;&gt;"",IF(AND(G459&gt;=$M$12,G459&lt;=$N$12),1,0),0)</f>
        <v>0</v>
      </c>
      <c r="N459" s="1216"/>
      <c r="O459" s="1216"/>
      <c r="P459" s="1216"/>
      <c r="Q459" s="1216"/>
      <c r="R459" s="1216"/>
    </row>
    <row r="460" spans="1:18" s="1217" customFormat="1" x14ac:dyDescent="0.2">
      <c r="B460" s="1424" t="s">
        <v>747</v>
      </c>
      <c r="C460" s="3040"/>
      <c r="D460" s="3058"/>
      <c r="E460" s="3041"/>
      <c r="F460" s="1558"/>
      <c r="G460" s="2033"/>
      <c r="H460" s="1541">
        <v>1</v>
      </c>
      <c r="I460" s="1426">
        <f>F460*H460</f>
        <v>0</v>
      </c>
      <c r="J460" s="1390">
        <f>I460/15</f>
        <v>0</v>
      </c>
      <c r="L460" s="1216"/>
      <c r="M460" s="1216">
        <f>IF(G460&lt;&gt;"",IF(AND(G460&gt;=$M$12,G460&lt;=$N$12),1,0),0)</f>
        <v>0</v>
      </c>
      <c r="N460" s="1216"/>
      <c r="O460" s="1216"/>
      <c r="P460" s="1216"/>
      <c r="Q460" s="1216"/>
      <c r="R460" s="1216"/>
    </row>
    <row r="461" spans="1:18" s="1217" customFormat="1" ht="12" customHeight="1" x14ac:dyDescent="0.2">
      <c r="B461" s="1639"/>
      <c r="C461" s="1640"/>
      <c r="D461" s="1328"/>
      <c r="E461" s="1641" t="s">
        <v>456</v>
      </c>
      <c r="F461" s="1642"/>
      <c r="G461" s="1643">
        <f>SUM(M456:M460)</f>
        <v>0</v>
      </c>
      <c r="H461" s="1642"/>
      <c r="I461" s="1282">
        <f>SUM(I456:I460)</f>
        <v>0</v>
      </c>
      <c r="J461" s="1283">
        <f>SUM(J456:J460)</f>
        <v>0</v>
      </c>
      <c r="L461" s="1216"/>
      <c r="M461" s="1216"/>
      <c r="N461" s="1216"/>
      <c r="O461" s="1216"/>
      <c r="P461" s="1216"/>
      <c r="Q461" s="1216"/>
      <c r="R461" s="1216"/>
    </row>
    <row r="462" spans="1:18" s="1304" customFormat="1" x14ac:dyDescent="0.2">
      <c r="B462" s="1335"/>
      <c r="C462" s="1336"/>
      <c r="D462" s="1336"/>
      <c r="E462" s="1336"/>
      <c r="F462" s="1334"/>
      <c r="G462" s="1334"/>
      <c r="H462" s="1334"/>
      <c r="I462" s="1339"/>
      <c r="J462" s="1339"/>
      <c r="L462" s="1302"/>
      <c r="M462" s="1302"/>
      <c r="N462" s="1302"/>
      <c r="O462" s="1302"/>
      <c r="P462" s="1302"/>
      <c r="Q462" s="1302"/>
      <c r="R462" s="1302"/>
    </row>
  </sheetData>
  <sheetProtection password="DC56" sheet="1" objects="1" scenarios="1" formatCells="0" formatColumns="0" formatRows="0" insertColumns="0" insertRows="0" insertHyperlinks="0"/>
  <dataConsolidate/>
  <mergeCells count="219"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</mergeCells>
  <dataValidations count="9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5 G275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7:F256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>
      <formula1>NationalList</formula1>
    </dataValidation>
    <dataValidation type="list" allowBlank="1" showInputMessage="1" showErrorMessage="1" promptTitle="ระดับการนำเสนอ" prompt="กรุณาเลือก" sqref="E120:E129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6:G20 F48:G52 G59:G68 G75:G79 F86:G90 G97:G101 G108:G112 G120:G129 G136:G155 G163:G167 G174:G178 G186:G195 G202:G206 G213:G217 G224:G228 G235:G239 G247:G256 G263:G267 G276:G285 F276:F285 F291:F300 G291:G300 F310:G319 F325:G334 G341:G342 G349:G353 G360:G364 G371:G375 F384:G388 F391:G395 G401:G405 G412:G416 G423:G427 G434:G438 F445:G449 G456:G460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27:G41"/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v.4.3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7</xdr:row>
                    <xdr:rowOff>95250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B2:I58"/>
  <sheetViews>
    <sheetView showGridLines="0" topLeftCell="A13" workbookViewId="0">
      <selection activeCell="K38" sqref="K38"/>
    </sheetView>
  </sheetViews>
  <sheetFormatPr defaultRowHeight="12.75" x14ac:dyDescent="0.2"/>
  <cols>
    <col min="1" max="1" width="1.25" style="1503" customWidth="1"/>
    <col min="2" max="2" width="4.375" style="1503" customWidth="1"/>
    <col min="3" max="3" width="10.375" style="1503" customWidth="1"/>
    <col min="4" max="4" width="43.625" style="1503" customWidth="1"/>
    <col min="5" max="5" width="10.375" style="1503" customWidth="1"/>
    <col min="6" max="6" width="12" style="1503" customWidth="1"/>
    <col min="7" max="7" width="12.625" style="1503" customWidth="1"/>
    <col min="8" max="8" width="12.125" style="1503" customWidth="1"/>
    <col min="9" max="257" width="9" style="1503"/>
    <col min="258" max="258" width="4.375" style="1503" customWidth="1"/>
    <col min="259" max="259" width="10.375" style="1503" customWidth="1"/>
    <col min="260" max="260" width="34.75" style="1503" customWidth="1"/>
    <col min="261" max="261" width="10.375" style="1503" customWidth="1"/>
    <col min="262" max="262" width="12" style="1503" customWidth="1"/>
    <col min="263" max="263" width="12.625" style="1503" customWidth="1"/>
    <col min="264" max="264" width="12.125" style="1503" customWidth="1"/>
    <col min="265" max="513" width="9" style="1503"/>
    <col min="514" max="514" width="4.375" style="1503" customWidth="1"/>
    <col min="515" max="515" width="10.375" style="1503" customWidth="1"/>
    <col min="516" max="516" width="34.75" style="1503" customWidth="1"/>
    <col min="517" max="517" width="10.375" style="1503" customWidth="1"/>
    <col min="518" max="518" width="12" style="1503" customWidth="1"/>
    <col min="519" max="519" width="12.625" style="1503" customWidth="1"/>
    <col min="520" max="520" width="12.125" style="1503" customWidth="1"/>
    <col min="521" max="769" width="9" style="1503"/>
    <col min="770" max="770" width="4.375" style="1503" customWidth="1"/>
    <col min="771" max="771" width="10.375" style="1503" customWidth="1"/>
    <col min="772" max="772" width="34.75" style="1503" customWidth="1"/>
    <col min="773" max="773" width="10.375" style="1503" customWidth="1"/>
    <col min="774" max="774" width="12" style="1503" customWidth="1"/>
    <col min="775" max="775" width="12.625" style="1503" customWidth="1"/>
    <col min="776" max="776" width="12.125" style="1503" customWidth="1"/>
    <col min="777" max="1025" width="9" style="1503"/>
    <col min="1026" max="1026" width="4.375" style="1503" customWidth="1"/>
    <col min="1027" max="1027" width="10.375" style="1503" customWidth="1"/>
    <col min="1028" max="1028" width="34.75" style="1503" customWidth="1"/>
    <col min="1029" max="1029" width="10.375" style="1503" customWidth="1"/>
    <col min="1030" max="1030" width="12" style="1503" customWidth="1"/>
    <col min="1031" max="1031" width="12.625" style="1503" customWidth="1"/>
    <col min="1032" max="1032" width="12.125" style="1503" customWidth="1"/>
    <col min="1033" max="1281" width="9" style="1503"/>
    <col min="1282" max="1282" width="4.375" style="1503" customWidth="1"/>
    <col min="1283" max="1283" width="10.375" style="1503" customWidth="1"/>
    <col min="1284" max="1284" width="34.75" style="1503" customWidth="1"/>
    <col min="1285" max="1285" width="10.375" style="1503" customWidth="1"/>
    <col min="1286" max="1286" width="12" style="1503" customWidth="1"/>
    <col min="1287" max="1287" width="12.625" style="1503" customWidth="1"/>
    <col min="1288" max="1288" width="12.125" style="1503" customWidth="1"/>
    <col min="1289" max="1537" width="9" style="1503"/>
    <col min="1538" max="1538" width="4.375" style="1503" customWidth="1"/>
    <col min="1539" max="1539" width="10.375" style="1503" customWidth="1"/>
    <col min="1540" max="1540" width="34.75" style="1503" customWidth="1"/>
    <col min="1541" max="1541" width="10.375" style="1503" customWidth="1"/>
    <col min="1542" max="1542" width="12" style="1503" customWidth="1"/>
    <col min="1543" max="1543" width="12.625" style="1503" customWidth="1"/>
    <col min="1544" max="1544" width="12.125" style="1503" customWidth="1"/>
    <col min="1545" max="1793" width="9" style="1503"/>
    <col min="1794" max="1794" width="4.375" style="1503" customWidth="1"/>
    <col min="1795" max="1795" width="10.375" style="1503" customWidth="1"/>
    <col min="1796" max="1796" width="34.75" style="1503" customWidth="1"/>
    <col min="1797" max="1797" width="10.375" style="1503" customWidth="1"/>
    <col min="1798" max="1798" width="12" style="1503" customWidth="1"/>
    <col min="1799" max="1799" width="12.625" style="1503" customWidth="1"/>
    <col min="1800" max="1800" width="12.125" style="1503" customWidth="1"/>
    <col min="1801" max="2049" width="9" style="1503"/>
    <col min="2050" max="2050" width="4.375" style="1503" customWidth="1"/>
    <col min="2051" max="2051" width="10.375" style="1503" customWidth="1"/>
    <col min="2052" max="2052" width="34.75" style="1503" customWidth="1"/>
    <col min="2053" max="2053" width="10.375" style="1503" customWidth="1"/>
    <col min="2054" max="2054" width="12" style="1503" customWidth="1"/>
    <col min="2055" max="2055" width="12.625" style="1503" customWidth="1"/>
    <col min="2056" max="2056" width="12.125" style="1503" customWidth="1"/>
    <col min="2057" max="2305" width="9" style="1503"/>
    <col min="2306" max="2306" width="4.375" style="1503" customWidth="1"/>
    <col min="2307" max="2307" width="10.375" style="1503" customWidth="1"/>
    <col min="2308" max="2308" width="34.75" style="1503" customWidth="1"/>
    <col min="2309" max="2309" width="10.375" style="1503" customWidth="1"/>
    <col min="2310" max="2310" width="12" style="1503" customWidth="1"/>
    <col min="2311" max="2311" width="12.625" style="1503" customWidth="1"/>
    <col min="2312" max="2312" width="12.125" style="1503" customWidth="1"/>
    <col min="2313" max="2561" width="9" style="1503"/>
    <col min="2562" max="2562" width="4.375" style="1503" customWidth="1"/>
    <col min="2563" max="2563" width="10.375" style="1503" customWidth="1"/>
    <col min="2564" max="2564" width="34.75" style="1503" customWidth="1"/>
    <col min="2565" max="2565" width="10.375" style="1503" customWidth="1"/>
    <col min="2566" max="2566" width="12" style="1503" customWidth="1"/>
    <col min="2567" max="2567" width="12.625" style="1503" customWidth="1"/>
    <col min="2568" max="2568" width="12.125" style="1503" customWidth="1"/>
    <col min="2569" max="2817" width="9" style="1503"/>
    <col min="2818" max="2818" width="4.375" style="1503" customWidth="1"/>
    <col min="2819" max="2819" width="10.375" style="1503" customWidth="1"/>
    <col min="2820" max="2820" width="34.75" style="1503" customWidth="1"/>
    <col min="2821" max="2821" width="10.375" style="1503" customWidth="1"/>
    <col min="2822" max="2822" width="12" style="1503" customWidth="1"/>
    <col min="2823" max="2823" width="12.625" style="1503" customWidth="1"/>
    <col min="2824" max="2824" width="12.125" style="1503" customWidth="1"/>
    <col min="2825" max="3073" width="9" style="1503"/>
    <col min="3074" max="3074" width="4.375" style="1503" customWidth="1"/>
    <col min="3075" max="3075" width="10.375" style="1503" customWidth="1"/>
    <col min="3076" max="3076" width="34.75" style="1503" customWidth="1"/>
    <col min="3077" max="3077" width="10.375" style="1503" customWidth="1"/>
    <col min="3078" max="3078" width="12" style="1503" customWidth="1"/>
    <col min="3079" max="3079" width="12.625" style="1503" customWidth="1"/>
    <col min="3080" max="3080" width="12.125" style="1503" customWidth="1"/>
    <col min="3081" max="3329" width="9" style="1503"/>
    <col min="3330" max="3330" width="4.375" style="1503" customWidth="1"/>
    <col min="3331" max="3331" width="10.375" style="1503" customWidth="1"/>
    <col min="3332" max="3332" width="34.75" style="1503" customWidth="1"/>
    <col min="3333" max="3333" width="10.375" style="1503" customWidth="1"/>
    <col min="3334" max="3334" width="12" style="1503" customWidth="1"/>
    <col min="3335" max="3335" width="12.625" style="1503" customWidth="1"/>
    <col min="3336" max="3336" width="12.125" style="1503" customWidth="1"/>
    <col min="3337" max="3585" width="9" style="1503"/>
    <col min="3586" max="3586" width="4.375" style="1503" customWidth="1"/>
    <col min="3587" max="3587" width="10.375" style="1503" customWidth="1"/>
    <col min="3588" max="3588" width="34.75" style="1503" customWidth="1"/>
    <col min="3589" max="3589" width="10.375" style="1503" customWidth="1"/>
    <col min="3590" max="3590" width="12" style="1503" customWidth="1"/>
    <col min="3591" max="3591" width="12.625" style="1503" customWidth="1"/>
    <col min="3592" max="3592" width="12.125" style="1503" customWidth="1"/>
    <col min="3593" max="3841" width="9" style="1503"/>
    <col min="3842" max="3842" width="4.375" style="1503" customWidth="1"/>
    <col min="3843" max="3843" width="10.375" style="1503" customWidth="1"/>
    <col min="3844" max="3844" width="34.75" style="1503" customWidth="1"/>
    <col min="3845" max="3845" width="10.375" style="1503" customWidth="1"/>
    <col min="3846" max="3846" width="12" style="1503" customWidth="1"/>
    <col min="3847" max="3847" width="12.625" style="1503" customWidth="1"/>
    <col min="3848" max="3848" width="12.125" style="1503" customWidth="1"/>
    <col min="3849" max="4097" width="9" style="1503"/>
    <col min="4098" max="4098" width="4.375" style="1503" customWidth="1"/>
    <col min="4099" max="4099" width="10.375" style="1503" customWidth="1"/>
    <col min="4100" max="4100" width="34.75" style="1503" customWidth="1"/>
    <col min="4101" max="4101" width="10.375" style="1503" customWidth="1"/>
    <col min="4102" max="4102" width="12" style="1503" customWidth="1"/>
    <col min="4103" max="4103" width="12.625" style="1503" customWidth="1"/>
    <col min="4104" max="4104" width="12.125" style="1503" customWidth="1"/>
    <col min="4105" max="4353" width="9" style="1503"/>
    <col min="4354" max="4354" width="4.375" style="1503" customWidth="1"/>
    <col min="4355" max="4355" width="10.375" style="1503" customWidth="1"/>
    <col min="4356" max="4356" width="34.75" style="1503" customWidth="1"/>
    <col min="4357" max="4357" width="10.375" style="1503" customWidth="1"/>
    <col min="4358" max="4358" width="12" style="1503" customWidth="1"/>
    <col min="4359" max="4359" width="12.625" style="1503" customWidth="1"/>
    <col min="4360" max="4360" width="12.125" style="1503" customWidth="1"/>
    <col min="4361" max="4609" width="9" style="1503"/>
    <col min="4610" max="4610" width="4.375" style="1503" customWidth="1"/>
    <col min="4611" max="4611" width="10.375" style="1503" customWidth="1"/>
    <col min="4612" max="4612" width="34.75" style="1503" customWidth="1"/>
    <col min="4613" max="4613" width="10.375" style="1503" customWidth="1"/>
    <col min="4614" max="4614" width="12" style="1503" customWidth="1"/>
    <col min="4615" max="4615" width="12.625" style="1503" customWidth="1"/>
    <col min="4616" max="4616" width="12.125" style="1503" customWidth="1"/>
    <col min="4617" max="4865" width="9" style="1503"/>
    <col min="4866" max="4866" width="4.375" style="1503" customWidth="1"/>
    <col min="4867" max="4867" width="10.375" style="1503" customWidth="1"/>
    <col min="4868" max="4868" width="34.75" style="1503" customWidth="1"/>
    <col min="4869" max="4869" width="10.375" style="1503" customWidth="1"/>
    <col min="4870" max="4870" width="12" style="1503" customWidth="1"/>
    <col min="4871" max="4871" width="12.625" style="1503" customWidth="1"/>
    <col min="4872" max="4872" width="12.125" style="1503" customWidth="1"/>
    <col min="4873" max="5121" width="9" style="1503"/>
    <col min="5122" max="5122" width="4.375" style="1503" customWidth="1"/>
    <col min="5123" max="5123" width="10.375" style="1503" customWidth="1"/>
    <col min="5124" max="5124" width="34.75" style="1503" customWidth="1"/>
    <col min="5125" max="5125" width="10.375" style="1503" customWidth="1"/>
    <col min="5126" max="5126" width="12" style="1503" customWidth="1"/>
    <col min="5127" max="5127" width="12.625" style="1503" customWidth="1"/>
    <col min="5128" max="5128" width="12.125" style="1503" customWidth="1"/>
    <col min="5129" max="5377" width="9" style="1503"/>
    <col min="5378" max="5378" width="4.375" style="1503" customWidth="1"/>
    <col min="5379" max="5379" width="10.375" style="1503" customWidth="1"/>
    <col min="5380" max="5380" width="34.75" style="1503" customWidth="1"/>
    <col min="5381" max="5381" width="10.375" style="1503" customWidth="1"/>
    <col min="5382" max="5382" width="12" style="1503" customWidth="1"/>
    <col min="5383" max="5383" width="12.625" style="1503" customWidth="1"/>
    <col min="5384" max="5384" width="12.125" style="1503" customWidth="1"/>
    <col min="5385" max="5633" width="9" style="1503"/>
    <col min="5634" max="5634" width="4.375" style="1503" customWidth="1"/>
    <col min="5635" max="5635" width="10.375" style="1503" customWidth="1"/>
    <col min="5636" max="5636" width="34.75" style="1503" customWidth="1"/>
    <col min="5637" max="5637" width="10.375" style="1503" customWidth="1"/>
    <col min="5638" max="5638" width="12" style="1503" customWidth="1"/>
    <col min="5639" max="5639" width="12.625" style="1503" customWidth="1"/>
    <col min="5640" max="5640" width="12.125" style="1503" customWidth="1"/>
    <col min="5641" max="5889" width="9" style="1503"/>
    <col min="5890" max="5890" width="4.375" style="1503" customWidth="1"/>
    <col min="5891" max="5891" width="10.375" style="1503" customWidth="1"/>
    <col min="5892" max="5892" width="34.75" style="1503" customWidth="1"/>
    <col min="5893" max="5893" width="10.375" style="1503" customWidth="1"/>
    <col min="5894" max="5894" width="12" style="1503" customWidth="1"/>
    <col min="5895" max="5895" width="12.625" style="1503" customWidth="1"/>
    <col min="5896" max="5896" width="12.125" style="1503" customWidth="1"/>
    <col min="5897" max="6145" width="9" style="1503"/>
    <col min="6146" max="6146" width="4.375" style="1503" customWidth="1"/>
    <col min="6147" max="6147" width="10.375" style="1503" customWidth="1"/>
    <col min="6148" max="6148" width="34.75" style="1503" customWidth="1"/>
    <col min="6149" max="6149" width="10.375" style="1503" customWidth="1"/>
    <col min="6150" max="6150" width="12" style="1503" customWidth="1"/>
    <col min="6151" max="6151" width="12.625" style="1503" customWidth="1"/>
    <col min="6152" max="6152" width="12.125" style="1503" customWidth="1"/>
    <col min="6153" max="6401" width="9" style="1503"/>
    <col min="6402" max="6402" width="4.375" style="1503" customWidth="1"/>
    <col min="6403" max="6403" width="10.375" style="1503" customWidth="1"/>
    <col min="6404" max="6404" width="34.75" style="1503" customWidth="1"/>
    <col min="6405" max="6405" width="10.375" style="1503" customWidth="1"/>
    <col min="6406" max="6406" width="12" style="1503" customWidth="1"/>
    <col min="6407" max="6407" width="12.625" style="1503" customWidth="1"/>
    <col min="6408" max="6408" width="12.125" style="1503" customWidth="1"/>
    <col min="6409" max="6657" width="9" style="1503"/>
    <col min="6658" max="6658" width="4.375" style="1503" customWidth="1"/>
    <col min="6659" max="6659" width="10.375" style="1503" customWidth="1"/>
    <col min="6660" max="6660" width="34.75" style="1503" customWidth="1"/>
    <col min="6661" max="6661" width="10.375" style="1503" customWidth="1"/>
    <col min="6662" max="6662" width="12" style="1503" customWidth="1"/>
    <col min="6663" max="6663" width="12.625" style="1503" customWidth="1"/>
    <col min="6664" max="6664" width="12.125" style="1503" customWidth="1"/>
    <col min="6665" max="6913" width="9" style="1503"/>
    <col min="6914" max="6914" width="4.375" style="1503" customWidth="1"/>
    <col min="6915" max="6915" width="10.375" style="1503" customWidth="1"/>
    <col min="6916" max="6916" width="34.75" style="1503" customWidth="1"/>
    <col min="6917" max="6917" width="10.375" style="1503" customWidth="1"/>
    <col min="6918" max="6918" width="12" style="1503" customWidth="1"/>
    <col min="6919" max="6919" width="12.625" style="1503" customWidth="1"/>
    <col min="6920" max="6920" width="12.125" style="1503" customWidth="1"/>
    <col min="6921" max="7169" width="9" style="1503"/>
    <col min="7170" max="7170" width="4.375" style="1503" customWidth="1"/>
    <col min="7171" max="7171" width="10.375" style="1503" customWidth="1"/>
    <col min="7172" max="7172" width="34.75" style="1503" customWidth="1"/>
    <col min="7173" max="7173" width="10.375" style="1503" customWidth="1"/>
    <col min="7174" max="7174" width="12" style="1503" customWidth="1"/>
    <col min="7175" max="7175" width="12.625" style="1503" customWidth="1"/>
    <col min="7176" max="7176" width="12.125" style="1503" customWidth="1"/>
    <col min="7177" max="7425" width="9" style="1503"/>
    <col min="7426" max="7426" width="4.375" style="1503" customWidth="1"/>
    <col min="7427" max="7427" width="10.375" style="1503" customWidth="1"/>
    <col min="7428" max="7428" width="34.75" style="1503" customWidth="1"/>
    <col min="7429" max="7429" width="10.375" style="1503" customWidth="1"/>
    <col min="7430" max="7430" width="12" style="1503" customWidth="1"/>
    <col min="7431" max="7431" width="12.625" style="1503" customWidth="1"/>
    <col min="7432" max="7432" width="12.125" style="1503" customWidth="1"/>
    <col min="7433" max="7681" width="9" style="1503"/>
    <col min="7682" max="7682" width="4.375" style="1503" customWidth="1"/>
    <col min="7683" max="7683" width="10.375" style="1503" customWidth="1"/>
    <col min="7684" max="7684" width="34.75" style="1503" customWidth="1"/>
    <col min="7685" max="7685" width="10.375" style="1503" customWidth="1"/>
    <col min="7686" max="7686" width="12" style="1503" customWidth="1"/>
    <col min="7687" max="7687" width="12.625" style="1503" customWidth="1"/>
    <col min="7688" max="7688" width="12.125" style="1503" customWidth="1"/>
    <col min="7689" max="7937" width="9" style="1503"/>
    <col min="7938" max="7938" width="4.375" style="1503" customWidth="1"/>
    <col min="7939" max="7939" width="10.375" style="1503" customWidth="1"/>
    <col min="7940" max="7940" width="34.75" style="1503" customWidth="1"/>
    <col min="7941" max="7941" width="10.375" style="1503" customWidth="1"/>
    <col min="7942" max="7942" width="12" style="1503" customWidth="1"/>
    <col min="7943" max="7943" width="12.625" style="1503" customWidth="1"/>
    <col min="7944" max="7944" width="12.125" style="1503" customWidth="1"/>
    <col min="7945" max="8193" width="9" style="1503"/>
    <col min="8194" max="8194" width="4.375" style="1503" customWidth="1"/>
    <col min="8195" max="8195" width="10.375" style="1503" customWidth="1"/>
    <col min="8196" max="8196" width="34.75" style="1503" customWidth="1"/>
    <col min="8197" max="8197" width="10.375" style="1503" customWidth="1"/>
    <col min="8198" max="8198" width="12" style="1503" customWidth="1"/>
    <col min="8199" max="8199" width="12.625" style="1503" customWidth="1"/>
    <col min="8200" max="8200" width="12.125" style="1503" customWidth="1"/>
    <col min="8201" max="8449" width="9" style="1503"/>
    <col min="8450" max="8450" width="4.375" style="1503" customWidth="1"/>
    <col min="8451" max="8451" width="10.375" style="1503" customWidth="1"/>
    <col min="8452" max="8452" width="34.75" style="1503" customWidth="1"/>
    <col min="8453" max="8453" width="10.375" style="1503" customWidth="1"/>
    <col min="8454" max="8454" width="12" style="1503" customWidth="1"/>
    <col min="8455" max="8455" width="12.625" style="1503" customWidth="1"/>
    <col min="8456" max="8456" width="12.125" style="1503" customWidth="1"/>
    <col min="8457" max="8705" width="9" style="1503"/>
    <col min="8706" max="8706" width="4.375" style="1503" customWidth="1"/>
    <col min="8707" max="8707" width="10.375" style="1503" customWidth="1"/>
    <col min="8708" max="8708" width="34.75" style="1503" customWidth="1"/>
    <col min="8709" max="8709" width="10.375" style="1503" customWidth="1"/>
    <col min="8710" max="8710" width="12" style="1503" customWidth="1"/>
    <col min="8711" max="8711" width="12.625" style="1503" customWidth="1"/>
    <col min="8712" max="8712" width="12.125" style="1503" customWidth="1"/>
    <col min="8713" max="8961" width="9" style="1503"/>
    <col min="8962" max="8962" width="4.375" style="1503" customWidth="1"/>
    <col min="8963" max="8963" width="10.375" style="1503" customWidth="1"/>
    <col min="8964" max="8964" width="34.75" style="1503" customWidth="1"/>
    <col min="8965" max="8965" width="10.375" style="1503" customWidth="1"/>
    <col min="8966" max="8966" width="12" style="1503" customWidth="1"/>
    <col min="8967" max="8967" width="12.625" style="1503" customWidth="1"/>
    <col min="8968" max="8968" width="12.125" style="1503" customWidth="1"/>
    <col min="8969" max="9217" width="9" style="1503"/>
    <col min="9218" max="9218" width="4.375" style="1503" customWidth="1"/>
    <col min="9219" max="9219" width="10.375" style="1503" customWidth="1"/>
    <col min="9220" max="9220" width="34.75" style="1503" customWidth="1"/>
    <col min="9221" max="9221" width="10.375" style="1503" customWidth="1"/>
    <col min="9222" max="9222" width="12" style="1503" customWidth="1"/>
    <col min="9223" max="9223" width="12.625" style="1503" customWidth="1"/>
    <col min="9224" max="9224" width="12.125" style="1503" customWidth="1"/>
    <col min="9225" max="9473" width="9" style="1503"/>
    <col min="9474" max="9474" width="4.375" style="1503" customWidth="1"/>
    <col min="9475" max="9475" width="10.375" style="1503" customWidth="1"/>
    <col min="9476" max="9476" width="34.75" style="1503" customWidth="1"/>
    <col min="9477" max="9477" width="10.375" style="1503" customWidth="1"/>
    <col min="9478" max="9478" width="12" style="1503" customWidth="1"/>
    <col min="9479" max="9479" width="12.625" style="1503" customWidth="1"/>
    <col min="9480" max="9480" width="12.125" style="1503" customWidth="1"/>
    <col min="9481" max="9729" width="9" style="1503"/>
    <col min="9730" max="9730" width="4.375" style="1503" customWidth="1"/>
    <col min="9731" max="9731" width="10.375" style="1503" customWidth="1"/>
    <col min="9732" max="9732" width="34.75" style="1503" customWidth="1"/>
    <col min="9733" max="9733" width="10.375" style="1503" customWidth="1"/>
    <col min="9734" max="9734" width="12" style="1503" customWidth="1"/>
    <col min="9735" max="9735" width="12.625" style="1503" customWidth="1"/>
    <col min="9736" max="9736" width="12.125" style="1503" customWidth="1"/>
    <col min="9737" max="9985" width="9" style="1503"/>
    <col min="9986" max="9986" width="4.375" style="1503" customWidth="1"/>
    <col min="9987" max="9987" width="10.375" style="1503" customWidth="1"/>
    <col min="9988" max="9988" width="34.75" style="1503" customWidth="1"/>
    <col min="9989" max="9989" width="10.375" style="1503" customWidth="1"/>
    <col min="9990" max="9990" width="12" style="1503" customWidth="1"/>
    <col min="9991" max="9991" width="12.625" style="1503" customWidth="1"/>
    <col min="9992" max="9992" width="12.125" style="1503" customWidth="1"/>
    <col min="9993" max="10241" width="9" style="1503"/>
    <col min="10242" max="10242" width="4.375" style="1503" customWidth="1"/>
    <col min="10243" max="10243" width="10.375" style="1503" customWidth="1"/>
    <col min="10244" max="10244" width="34.75" style="1503" customWidth="1"/>
    <col min="10245" max="10245" width="10.375" style="1503" customWidth="1"/>
    <col min="10246" max="10246" width="12" style="1503" customWidth="1"/>
    <col min="10247" max="10247" width="12.625" style="1503" customWidth="1"/>
    <col min="10248" max="10248" width="12.125" style="1503" customWidth="1"/>
    <col min="10249" max="10497" width="9" style="1503"/>
    <col min="10498" max="10498" width="4.375" style="1503" customWidth="1"/>
    <col min="10499" max="10499" width="10.375" style="1503" customWidth="1"/>
    <col min="10500" max="10500" width="34.75" style="1503" customWidth="1"/>
    <col min="10501" max="10501" width="10.375" style="1503" customWidth="1"/>
    <col min="10502" max="10502" width="12" style="1503" customWidth="1"/>
    <col min="10503" max="10503" width="12.625" style="1503" customWidth="1"/>
    <col min="10504" max="10504" width="12.125" style="1503" customWidth="1"/>
    <col min="10505" max="10753" width="9" style="1503"/>
    <col min="10754" max="10754" width="4.375" style="1503" customWidth="1"/>
    <col min="10755" max="10755" width="10.375" style="1503" customWidth="1"/>
    <col min="10756" max="10756" width="34.75" style="1503" customWidth="1"/>
    <col min="10757" max="10757" width="10.375" style="1503" customWidth="1"/>
    <col min="10758" max="10758" width="12" style="1503" customWidth="1"/>
    <col min="10759" max="10759" width="12.625" style="1503" customWidth="1"/>
    <col min="10760" max="10760" width="12.125" style="1503" customWidth="1"/>
    <col min="10761" max="11009" width="9" style="1503"/>
    <col min="11010" max="11010" width="4.375" style="1503" customWidth="1"/>
    <col min="11011" max="11011" width="10.375" style="1503" customWidth="1"/>
    <col min="11012" max="11012" width="34.75" style="1503" customWidth="1"/>
    <col min="11013" max="11013" width="10.375" style="1503" customWidth="1"/>
    <col min="11014" max="11014" width="12" style="1503" customWidth="1"/>
    <col min="11015" max="11015" width="12.625" style="1503" customWidth="1"/>
    <col min="11016" max="11016" width="12.125" style="1503" customWidth="1"/>
    <col min="11017" max="11265" width="9" style="1503"/>
    <col min="11266" max="11266" width="4.375" style="1503" customWidth="1"/>
    <col min="11267" max="11267" width="10.375" style="1503" customWidth="1"/>
    <col min="11268" max="11268" width="34.75" style="1503" customWidth="1"/>
    <col min="11269" max="11269" width="10.375" style="1503" customWidth="1"/>
    <col min="11270" max="11270" width="12" style="1503" customWidth="1"/>
    <col min="11271" max="11271" width="12.625" style="1503" customWidth="1"/>
    <col min="11272" max="11272" width="12.125" style="1503" customWidth="1"/>
    <col min="11273" max="11521" width="9" style="1503"/>
    <col min="11522" max="11522" width="4.375" style="1503" customWidth="1"/>
    <col min="11523" max="11523" width="10.375" style="1503" customWidth="1"/>
    <col min="11524" max="11524" width="34.75" style="1503" customWidth="1"/>
    <col min="11525" max="11525" width="10.375" style="1503" customWidth="1"/>
    <col min="11526" max="11526" width="12" style="1503" customWidth="1"/>
    <col min="11527" max="11527" width="12.625" style="1503" customWidth="1"/>
    <col min="11528" max="11528" width="12.125" style="1503" customWidth="1"/>
    <col min="11529" max="11777" width="9" style="1503"/>
    <col min="11778" max="11778" width="4.375" style="1503" customWidth="1"/>
    <col min="11779" max="11779" width="10.375" style="1503" customWidth="1"/>
    <col min="11780" max="11780" width="34.75" style="1503" customWidth="1"/>
    <col min="11781" max="11781" width="10.375" style="1503" customWidth="1"/>
    <col min="11782" max="11782" width="12" style="1503" customWidth="1"/>
    <col min="11783" max="11783" width="12.625" style="1503" customWidth="1"/>
    <col min="11784" max="11784" width="12.125" style="1503" customWidth="1"/>
    <col min="11785" max="12033" width="9" style="1503"/>
    <col min="12034" max="12034" width="4.375" style="1503" customWidth="1"/>
    <col min="12035" max="12035" width="10.375" style="1503" customWidth="1"/>
    <col min="12036" max="12036" width="34.75" style="1503" customWidth="1"/>
    <col min="12037" max="12037" width="10.375" style="1503" customWidth="1"/>
    <col min="12038" max="12038" width="12" style="1503" customWidth="1"/>
    <col min="12039" max="12039" width="12.625" style="1503" customWidth="1"/>
    <col min="12040" max="12040" width="12.125" style="1503" customWidth="1"/>
    <col min="12041" max="12289" width="9" style="1503"/>
    <col min="12290" max="12290" width="4.375" style="1503" customWidth="1"/>
    <col min="12291" max="12291" width="10.375" style="1503" customWidth="1"/>
    <col min="12292" max="12292" width="34.75" style="1503" customWidth="1"/>
    <col min="12293" max="12293" width="10.375" style="1503" customWidth="1"/>
    <col min="12294" max="12294" width="12" style="1503" customWidth="1"/>
    <col min="12295" max="12295" width="12.625" style="1503" customWidth="1"/>
    <col min="12296" max="12296" width="12.125" style="1503" customWidth="1"/>
    <col min="12297" max="12545" width="9" style="1503"/>
    <col min="12546" max="12546" width="4.375" style="1503" customWidth="1"/>
    <col min="12547" max="12547" width="10.375" style="1503" customWidth="1"/>
    <col min="12548" max="12548" width="34.75" style="1503" customWidth="1"/>
    <col min="12549" max="12549" width="10.375" style="1503" customWidth="1"/>
    <col min="12550" max="12550" width="12" style="1503" customWidth="1"/>
    <col min="12551" max="12551" width="12.625" style="1503" customWidth="1"/>
    <col min="12552" max="12552" width="12.125" style="1503" customWidth="1"/>
    <col min="12553" max="12801" width="9" style="1503"/>
    <col min="12802" max="12802" width="4.375" style="1503" customWidth="1"/>
    <col min="12803" max="12803" width="10.375" style="1503" customWidth="1"/>
    <col min="12804" max="12804" width="34.75" style="1503" customWidth="1"/>
    <col min="12805" max="12805" width="10.375" style="1503" customWidth="1"/>
    <col min="12806" max="12806" width="12" style="1503" customWidth="1"/>
    <col min="12807" max="12807" width="12.625" style="1503" customWidth="1"/>
    <col min="12808" max="12808" width="12.125" style="1503" customWidth="1"/>
    <col min="12809" max="13057" width="9" style="1503"/>
    <col min="13058" max="13058" width="4.375" style="1503" customWidth="1"/>
    <col min="13059" max="13059" width="10.375" style="1503" customWidth="1"/>
    <col min="13060" max="13060" width="34.75" style="1503" customWidth="1"/>
    <col min="13061" max="13061" width="10.375" style="1503" customWidth="1"/>
    <col min="13062" max="13062" width="12" style="1503" customWidth="1"/>
    <col min="13063" max="13063" width="12.625" style="1503" customWidth="1"/>
    <col min="13064" max="13064" width="12.125" style="1503" customWidth="1"/>
    <col min="13065" max="13313" width="9" style="1503"/>
    <col min="13314" max="13314" width="4.375" style="1503" customWidth="1"/>
    <col min="13315" max="13315" width="10.375" style="1503" customWidth="1"/>
    <col min="13316" max="13316" width="34.75" style="1503" customWidth="1"/>
    <col min="13317" max="13317" width="10.375" style="1503" customWidth="1"/>
    <col min="13318" max="13318" width="12" style="1503" customWidth="1"/>
    <col min="13319" max="13319" width="12.625" style="1503" customWidth="1"/>
    <col min="13320" max="13320" width="12.125" style="1503" customWidth="1"/>
    <col min="13321" max="13569" width="9" style="1503"/>
    <col min="13570" max="13570" width="4.375" style="1503" customWidth="1"/>
    <col min="13571" max="13571" width="10.375" style="1503" customWidth="1"/>
    <col min="13572" max="13572" width="34.75" style="1503" customWidth="1"/>
    <col min="13573" max="13573" width="10.375" style="1503" customWidth="1"/>
    <col min="13574" max="13574" width="12" style="1503" customWidth="1"/>
    <col min="13575" max="13575" width="12.625" style="1503" customWidth="1"/>
    <col min="13576" max="13576" width="12.125" style="1503" customWidth="1"/>
    <col min="13577" max="13825" width="9" style="1503"/>
    <col min="13826" max="13826" width="4.375" style="1503" customWidth="1"/>
    <col min="13827" max="13827" width="10.375" style="1503" customWidth="1"/>
    <col min="13828" max="13828" width="34.75" style="1503" customWidth="1"/>
    <col min="13829" max="13829" width="10.375" style="1503" customWidth="1"/>
    <col min="13830" max="13830" width="12" style="1503" customWidth="1"/>
    <col min="13831" max="13831" width="12.625" style="1503" customWidth="1"/>
    <col min="13832" max="13832" width="12.125" style="1503" customWidth="1"/>
    <col min="13833" max="14081" width="9" style="1503"/>
    <col min="14082" max="14082" width="4.375" style="1503" customWidth="1"/>
    <col min="14083" max="14083" width="10.375" style="1503" customWidth="1"/>
    <col min="14084" max="14084" width="34.75" style="1503" customWidth="1"/>
    <col min="14085" max="14085" width="10.375" style="1503" customWidth="1"/>
    <col min="14086" max="14086" width="12" style="1503" customWidth="1"/>
    <col min="14087" max="14087" width="12.625" style="1503" customWidth="1"/>
    <col min="14088" max="14088" width="12.125" style="1503" customWidth="1"/>
    <col min="14089" max="14337" width="9" style="1503"/>
    <col min="14338" max="14338" width="4.375" style="1503" customWidth="1"/>
    <col min="14339" max="14339" width="10.375" style="1503" customWidth="1"/>
    <col min="14340" max="14340" width="34.75" style="1503" customWidth="1"/>
    <col min="14341" max="14341" width="10.375" style="1503" customWidth="1"/>
    <col min="14342" max="14342" width="12" style="1503" customWidth="1"/>
    <col min="14343" max="14343" width="12.625" style="1503" customWidth="1"/>
    <col min="14344" max="14344" width="12.125" style="1503" customWidth="1"/>
    <col min="14345" max="14593" width="9" style="1503"/>
    <col min="14594" max="14594" width="4.375" style="1503" customWidth="1"/>
    <col min="14595" max="14595" width="10.375" style="1503" customWidth="1"/>
    <col min="14596" max="14596" width="34.75" style="1503" customWidth="1"/>
    <col min="14597" max="14597" width="10.375" style="1503" customWidth="1"/>
    <col min="14598" max="14598" width="12" style="1503" customWidth="1"/>
    <col min="14599" max="14599" width="12.625" style="1503" customWidth="1"/>
    <col min="14600" max="14600" width="12.125" style="1503" customWidth="1"/>
    <col min="14601" max="14849" width="9" style="1503"/>
    <col min="14850" max="14850" width="4.375" style="1503" customWidth="1"/>
    <col min="14851" max="14851" width="10.375" style="1503" customWidth="1"/>
    <col min="14852" max="14852" width="34.75" style="1503" customWidth="1"/>
    <col min="14853" max="14853" width="10.375" style="1503" customWidth="1"/>
    <col min="14854" max="14854" width="12" style="1503" customWidth="1"/>
    <col min="14855" max="14855" width="12.625" style="1503" customWidth="1"/>
    <col min="14856" max="14856" width="12.125" style="1503" customWidth="1"/>
    <col min="14857" max="15105" width="9" style="1503"/>
    <col min="15106" max="15106" width="4.375" style="1503" customWidth="1"/>
    <col min="15107" max="15107" width="10.375" style="1503" customWidth="1"/>
    <col min="15108" max="15108" width="34.75" style="1503" customWidth="1"/>
    <col min="15109" max="15109" width="10.375" style="1503" customWidth="1"/>
    <col min="15110" max="15110" width="12" style="1503" customWidth="1"/>
    <col min="15111" max="15111" width="12.625" style="1503" customWidth="1"/>
    <col min="15112" max="15112" width="12.125" style="1503" customWidth="1"/>
    <col min="15113" max="15361" width="9" style="1503"/>
    <col min="15362" max="15362" width="4.375" style="1503" customWidth="1"/>
    <col min="15363" max="15363" width="10.375" style="1503" customWidth="1"/>
    <col min="15364" max="15364" width="34.75" style="1503" customWidth="1"/>
    <col min="15365" max="15365" width="10.375" style="1503" customWidth="1"/>
    <col min="15366" max="15366" width="12" style="1503" customWidth="1"/>
    <col min="15367" max="15367" width="12.625" style="1503" customWidth="1"/>
    <col min="15368" max="15368" width="12.125" style="1503" customWidth="1"/>
    <col min="15369" max="15617" width="9" style="1503"/>
    <col min="15618" max="15618" width="4.375" style="1503" customWidth="1"/>
    <col min="15619" max="15619" width="10.375" style="1503" customWidth="1"/>
    <col min="15620" max="15620" width="34.75" style="1503" customWidth="1"/>
    <col min="15621" max="15621" width="10.375" style="1503" customWidth="1"/>
    <col min="15622" max="15622" width="12" style="1503" customWidth="1"/>
    <col min="15623" max="15623" width="12.625" style="1503" customWidth="1"/>
    <col min="15624" max="15624" width="12.125" style="1503" customWidth="1"/>
    <col min="15625" max="15873" width="9" style="1503"/>
    <col min="15874" max="15874" width="4.375" style="1503" customWidth="1"/>
    <col min="15875" max="15875" width="10.375" style="1503" customWidth="1"/>
    <col min="15876" max="15876" width="34.75" style="1503" customWidth="1"/>
    <col min="15877" max="15877" width="10.375" style="1503" customWidth="1"/>
    <col min="15878" max="15878" width="12" style="1503" customWidth="1"/>
    <col min="15879" max="15879" width="12.625" style="1503" customWidth="1"/>
    <col min="15880" max="15880" width="12.125" style="1503" customWidth="1"/>
    <col min="15881" max="16129" width="9" style="1503"/>
    <col min="16130" max="16130" width="4.375" style="1503" customWidth="1"/>
    <col min="16131" max="16131" width="10.375" style="1503" customWidth="1"/>
    <col min="16132" max="16132" width="34.75" style="1503" customWidth="1"/>
    <col min="16133" max="16133" width="10.375" style="1503" customWidth="1"/>
    <col min="16134" max="16134" width="12" style="1503" customWidth="1"/>
    <col min="16135" max="16135" width="12.625" style="1503" customWidth="1"/>
    <col min="16136" max="16136" width="12.125" style="1503" customWidth="1"/>
    <col min="16137" max="16384" width="9" style="1503"/>
  </cols>
  <sheetData>
    <row r="2" spans="2:9" s="1144" customFormat="1" ht="20.25" x14ac:dyDescent="0.3">
      <c r="B2" s="1657" t="s">
        <v>1015</v>
      </c>
      <c r="E2" s="1658"/>
      <c r="F2" s="1146"/>
      <c r="G2" s="1146"/>
    </row>
    <row r="3" spans="2:9" s="1144" customFormat="1" ht="18" x14ac:dyDescent="0.25">
      <c r="B3" s="1659" t="s">
        <v>896</v>
      </c>
      <c r="E3" s="1658"/>
      <c r="F3" s="1146"/>
      <c r="G3" s="1146"/>
    </row>
    <row r="4" spans="2:9" s="1144" customFormat="1" ht="14.25" x14ac:dyDescent="0.2">
      <c r="F4" s="1146"/>
      <c r="G4" s="1146"/>
    </row>
    <row r="5" spans="2:9" s="1144" customFormat="1" ht="40.5" customHeight="1" x14ac:dyDescent="0.25">
      <c r="C5" s="3125" t="s">
        <v>1016</v>
      </c>
      <c r="D5" s="3125"/>
      <c r="E5" s="3125"/>
      <c r="F5" s="3125"/>
      <c r="G5" s="3125"/>
      <c r="H5" s="3125"/>
      <c r="I5" s="1660"/>
    </row>
    <row r="6" spans="2:9" s="1144" customFormat="1" ht="15.75" x14ac:dyDescent="0.25">
      <c r="C6" s="1661"/>
      <c r="E6" s="1198"/>
      <c r="F6" s="1146"/>
      <c r="G6" s="1146"/>
      <c r="I6" s="1660"/>
    </row>
    <row r="7" spans="2:9" s="1198" customFormat="1" x14ac:dyDescent="0.2">
      <c r="B7" s="1662" t="s">
        <v>1017</v>
      </c>
      <c r="C7" s="1271"/>
      <c r="D7" s="1471" t="s">
        <v>1018</v>
      </c>
      <c r="E7" s="1471" t="s">
        <v>914</v>
      </c>
      <c r="F7" s="1536" t="s">
        <v>821</v>
      </c>
      <c r="G7" s="1537" t="s">
        <v>639</v>
      </c>
      <c r="H7" s="1538" t="s">
        <v>639</v>
      </c>
    </row>
    <row r="8" spans="2:9" s="1209" customFormat="1" x14ac:dyDescent="0.2">
      <c r="B8" s="1663"/>
      <c r="C8" s="1664"/>
      <c r="D8" s="1665"/>
      <c r="E8" s="1194"/>
      <c r="F8" s="1569"/>
      <c r="G8" s="1666" t="s">
        <v>641</v>
      </c>
      <c r="H8" s="1667" t="s">
        <v>510</v>
      </c>
    </row>
    <row r="9" spans="2:9" s="1217" customFormat="1" ht="15.75" x14ac:dyDescent="0.25">
      <c r="B9" s="1668">
        <v>1</v>
      </c>
      <c r="C9" s="1669" t="s">
        <v>602</v>
      </c>
      <c r="D9" s="1670"/>
      <c r="E9" s="1671"/>
      <c r="F9" s="1672"/>
      <c r="G9" s="1672"/>
      <c r="H9" s="1673"/>
    </row>
    <row r="10" spans="2:9" s="1217" customFormat="1" x14ac:dyDescent="0.2">
      <c r="B10" s="1674"/>
      <c r="C10" s="1424" t="s">
        <v>915</v>
      </c>
      <c r="D10" s="1675"/>
      <c r="E10" s="1558"/>
      <c r="F10" s="1541">
        <v>10</v>
      </c>
      <c r="G10" s="1426">
        <f>E10*F10</f>
        <v>0</v>
      </c>
      <c r="H10" s="1390">
        <f t="shared" ref="H10:H19" si="0">G10/15</f>
        <v>0</v>
      </c>
    </row>
    <row r="11" spans="2:9" s="1217" customFormat="1" x14ac:dyDescent="0.2">
      <c r="B11" s="1674"/>
      <c r="C11" s="1424" t="s">
        <v>916</v>
      </c>
      <c r="D11" s="1675"/>
      <c r="E11" s="1558"/>
      <c r="F11" s="1541">
        <v>10</v>
      </c>
      <c r="G11" s="1426">
        <f t="shared" ref="G11:G19" si="1">E11*F11</f>
        <v>0</v>
      </c>
      <c r="H11" s="1390">
        <f t="shared" si="0"/>
        <v>0</v>
      </c>
    </row>
    <row r="12" spans="2:9" s="1217" customFormat="1" x14ac:dyDescent="0.2">
      <c r="B12" s="1674"/>
      <c r="C12" s="1424" t="s">
        <v>917</v>
      </c>
      <c r="D12" s="1675"/>
      <c r="E12" s="1558"/>
      <c r="F12" s="1541">
        <v>10</v>
      </c>
      <c r="G12" s="1426">
        <f t="shared" si="1"/>
        <v>0</v>
      </c>
      <c r="H12" s="1390">
        <f t="shared" si="0"/>
        <v>0</v>
      </c>
    </row>
    <row r="13" spans="2:9" s="1217" customFormat="1" x14ac:dyDescent="0.2">
      <c r="B13" s="1674"/>
      <c r="C13" s="1424" t="s">
        <v>918</v>
      </c>
      <c r="D13" s="1675"/>
      <c r="E13" s="1558"/>
      <c r="F13" s="1541">
        <v>10</v>
      </c>
      <c r="G13" s="1426">
        <f t="shared" si="1"/>
        <v>0</v>
      </c>
      <c r="H13" s="1390">
        <f t="shared" si="0"/>
        <v>0</v>
      </c>
    </row>
    <row r="14" spans="2:9" s="1217" customFormat="1" x14ac:dyDescent="0.2">
      <c r="B14" s="1674"/>
      <c r="C14" s="1424" t="s">
        <v>919</v>
      </c>
      <c r="D14" s="1675"/>
      <c r="E14" s="1558"/>
      <c r="F14" s="1541">
        <v>10</v>
      </c>
      <c r="G14" s="1426">
        <f t="shared" si="1"/>
        <v>0</v>
      </c>
      <c r="H14" s="1390">
        <f t="shared" si="0"/>
        <v>0</v>
      </c>
    </row>
    <row r="15" spans="2:9" s="1217" customFormat="1" x14ac:dyDescent="0.2">
      <c r="B15" s="1674"/>
      <c r="C15" s="1424" t="s">
        <v>1019</v>
      </c>
      <c r="D15" s="1675"/>
      <c r="E15" s="1558"/>
      <c r="F15" s="1541">
        <v>10</v>
      </c>
      <c r="G15" s="1426">
        <f t="shared" si="1"/>
        <v>0</v>
      </c>
      <c r="H15" s="1390">
        <f t="shared" si="0"/>
        <v>0</v>
      </c>
    </row>
    <row r="16" spans="2:9" s="1217" customFormat="1" x14ac:dyDescent="0.2">
      <c r="B16" s="1674"/>
      <c r="C16" s="1424" t="s">
        <v>1020</v>
      </c>
      <c r="D16" s="1675"/>
      <c r="E16" s="1558"/>
      <c r="F16" s="1541">
        <v>10</v>
      </c>
      <c r="G16" s="1426">
        <f t="shared" si="1"/>
        <v>0</v>
      </c>
      <c r="H16" s="1390">
        <f t="shared" si="0"/>
        <v>0</v>
      </c>
    </row>
    <row r="17" spans="2:8" s="1217" customFormat="1" x14ac:dyDescent="0.2">
      <c r="B17" s="1674"/>
      <c r="C17" s="1424" t="s">
        <v>1021</v>
      </c>
      <c r="D17" s="1675"/>
      <c r="E17" s="1558"/>
      <c r="F17" s="1541">
        <v>10</v>
      </c>
      <c r="G17" s="1426">
        <f t="shared" si="1"/>
        <v>0</v>
      </c>
      <c r="H17" s="1390">
        <f t="shared" si="0"/>
        <v>0</v>
      </c>
    </row>
    <row r="18" spans="2:8" s="1217" customFormat="1" x14ac:dyDescent="0.2">
      <c r="B18" s="1674"/>
      <c r="C18" s="1424" t="s">
        <v>1022</v>
      </c>
      <c r="D18" s="1675"/>
      <c r="E18" s="1558"/>
      <c r="F18" s="1541">
        <v>10</v>
      </c>
      <c r="G18" s="1426">
        <f t="shared" si="1"/>
        <v>0</v>
      </c>
      <c r="H18" s="1390">
        <f t="shared" si="0"/>
        <v>0</v>
      </c>
    </row>
    <row r="19" spans="2:8" s="1217" customFormat="1" x14ac:dyDescent="0.2">
      <c r="B19" s="1674"/>
      <c r="C19" s="1424" t="s">
        <v>1023</v>
      </c>
      <c r="D19" s="1675"/>
      <c r="E19" s="1558"/>
      <c r="F19" s="1541">
        <v>10</v>
      </c>
      <c r="G19" s="1426">
        <f t="shared" si="1"/>
        <v>0</v>
      </c>
      <c r="H19" s="1390">
        <f t="shared" si="0"/>
        <v>0</v>
      </c>
    </row>
    <row r="20" spans="2:8" s="1217" customFormat="1" x14ac:dyDescent="0.2">
      <c r="B20" s="1676"/>
      <c r="C20" s="1639"/>
      <c r="D20" s="1677"/>
      <c r="E20" s="1678"/>
      <c r="F20" s="1329" t="s">
        <v>456</v>
      </c>
      <c r="G20" s="1282">
        <f>SUM(G10:G19)</f>
        <v>0</v>
      </c>
      <c r="H20" s="1283">
        <f>SUM(H10:H19)</f>
        <v>0</v>
      </c>
    </row>
    <row r="21" spans="2:8" s="1217" customFormat="1" ht="15.75" x14ac:dyDescent="0.25">
      <c r="B21" s="1668">
        <v>2</v>
      </c>
      <c r="C21" s="1669" t="s">
        <v>603</v>
      </c>
      <c r="D21" s="1670"/>
      <c r="E21" s="1671"/>
      <c r="F21" s="1672"/>
      <c r="G21" s="1672"/>
      <c r="H21" s="1673"/>
    </row>
    <row r="22" spans="2:8" s="1217" customFormat="1" x14ac:dyDescent="0.2">
      <c r="B22" s="1674"/>
      <c r="C22" s="1424" t="s">
        <v>915</v>
      </c>
      <c r="D22" s="1679" t="s">
        <v>1024</v>
      </c>
      <c r="E22" s="1558">
        <v>15</v>
      </c>
      <c r="F22" s="1541">
        <v>1</v>
      </c>
      <c r="G22" s="1426">
        <f>IF(E22=0,0,IF(E22&gt;=15,15,IF(E22&lt;=14,E22)))</f>
        <v>15</v>
      </c>
      <c r="H22" s="1390">
        <f t="shared" ref="H22:H31" si="2">G22/15</f>
        <v>1</v>
      </c>
    </row>
    <row r="23" spans="2:8" s="1217" customFormat="1" x14ac:dyDescent="0.2">
      <c r="B23" s="1674"/>
      <c r="C23" s="1424" t="s">
        <v>916</v>
      </c>
      <c r="D23" s="1675" t="s">
        <v>1297</v>
      </c>
      <c r="E23" s="1558">
        <v>1</v>
      </c>
      <c r="F23" s="1541">
        <v>1</v>
      </c>
      <c r="G23" s="1426">
        <f>E23*F23</f>
        <v>1</v>
      </c>
      <c r="H23" s="1390">
        <f t="shared" si="2"/>
        <v>6.6666666666666666E-2</v>
      </c>
    </row>
    <row r="24" spans="2:8" s="1217" customFormat="1" x14ac:dyDescent="0.2">
      <c r="B24" s="1674"/>
      <c r="C24" s="1424" t="s">
        <v>917</v>
      </c>
      <c r="D24" s="1675"/>
      <c r="E24" s="1558"/>
      <c r="F24" s="1541">
        <v>1</v>
      </c>
      <c r="G24" s="1426">
        <f t="shared" ref="G24:G31" si="3">E24*F24</f>
        <v>0</v>
      </c>
      <c r="H24" s="1390">
        <f t="shared" si="2"/>
        <v>0</v>
      </c>
    </row>
    <row r="25" spans="2:8" s="1217" customFormat="1" x14ac:dyDescent="0.2">
      <c r="B25" s="1674"/>
      <c r="C25" s="1424" t="s">
        <v>918</v>
      </c>
      <c r="D25" s="1675"/>
      <c r="E25" s="1558"/>
      <c r="F25" s="1541">
        <v>1</v>
      </c>
      <c r="G25" s="1426">
        <f t="shared" si="3"/>
        <v>0</v>
      </c>
      <c r="H25" s="1390">
        <f t="shared" si="2"/>
        <v>0</v>
      </c>
    </row>
    <row r="26" spans="2:8" s="1217" customFormat="1" x14ac:dyDescent="0.2">
      <c r="B26" s="1674"/>
      <c r="C26" s="1424" t="s">
        <v>919</v>
      </c>
      <c r="D26" s="1675"/>
      <c r="E26" s="1558"/>
      <c r="F26" s="1541">
        <v>1</v>
      </c>
      <c r="G26" s="1426">
        <f t="shared" si="3"/>
        <v>0</v>
      </c>
      <c r="H26" s="1390">
        <f t="shared" si="2"/>
        <v>0</v>
      </c>
    </row>
    <row r="27" spans="2:8" s="1217" customFormat="1" x14ac:dyDescent="0.2">
      <c r="B27" s="1674"/>
      <c r="C27" s="1424" t="s">
        <v>1019</v>
      </c>
      <c r="D27" s="1675"/>
      <c r="E27" s="1558"/>
      <c r="F27" s="1541">
        <v>1</v>
      </c>
      <c r="G27" s="1426">
        <f t="shared" si="3"/>
        <v>0</v>
      </c>
      <c r="H27" s="1390">
        <f t="shared" si="2"/>
        <v>0</v>
      </c>
    </row>
    <row r="28" spans="2:8" s="1217" customFormat="1" x14ac:dyDescent="0.2">
      <c r="B28" s="1674"/>
      <c r="C28" s="1424" t="s">
        <v>1020</v>
      </c>
      <c r="D28" s="1675"/>
      <c r="E28" s="1558"/>
      <c r="F28" s="1541">
        <v>1</v>
      </c>
      <c r="G28" s="1426">
        <f t="shared" si="3"/>
        <v>0</v>
      </c>
      <c r="H28" s="1390">
        <f t="shared" si="2"/>
        <v>0</v>
      </c>
    </row>
    <row r="29" spans="2:8" s="1217" customFormat="1" x14ac:dyDescent="0.2">
      <c r="B29" s="1674"/>
      <c r="C29" s="1424" t="s">
        <v>1021</v>
      </c>
      <c r="D29" s="1675"/>
      <c r="E29" s="1558"/>
      <c r="F29" s="1541">
        <v>1</v>
      </c>
      <c r="G29" s="1426">
        <f t="shared" si="3"/>
        <v>0</v>
      </c>
      <c r="H29" s="1390">
        <f t="shared" si="2"/>
        <v>0</v>
      </c>
    </row>
    <row r="30" spans="2:8" s="1217" customFormat="1" x14ac:dyDescent="0.2">
      <c r="B30" s="1674"/>
      <c r="C30" s="1424" t="s">
        <v>1022</v>
      </c>
      <c r="D30" s="1675"/>
      <c r="E30" s="1558"/>
      <c r="F30" s="1541">
        <v>1</v>
      </c>
      <c r="G30" s="1426">
        <f t="shared" si="3"/>
        <v>0</v>
      </c>
      <c r="H30" s="1390">
        <f t="shared" si="2"/>
        <v>0</v>
      </c>
    </row>
    <row r="31" spans="2:8" s="1217" customFormat="1" x14ac:dyDescent="0.2">
      <c r="B31" s="1674"/>
      <c r="C31" s="1424" t="s">
        <v>1023</v>
      </c>
      <c r="D31" s="1675"/>
      <c r="E31" s="1558"/>
      <c r="F31" s="1541">
        <v>1</v>
      </c>
      <c r="G31" s="1426">
        <f t="shared" si="3"/>
        <v>0</v>
      </c>
      <c r="H31" s="1390">
        <f t="shared" si="2"/>
        <v>0</v>
      </c>
    </row>
    <row r="32" spans="2:8" s="1217" customFormat="1" x14ac:dyDescent="0.2">
      <c r="B32" s="1676"/>
      <c r="C32" s="1639"/>
      <c r="D32" s="1680"/>
      <c r="E32" s="1543"/>
      <c r="F32" s="1329" t="s">
        <v>456</v>
      </c>
      <c r="G32" s="1282">
        <f>SUM(G22:G31)</f>
        <v>16</v>
      </c>
      <c r="H32" s="1283">
        <f>SUM(H22:H31)</f>
        <v>1.0666666666666667</v>
      </c>
    </row>
    <row r="33" spans="2:8" s="1198" customFormat="1" x14ac:dyDescent="0.2">
      <c r="B33" s="1662" t="s">
        <v>1017</v>
      </c>
      <c r="C33" s="1271"/>
      <c r="D33" s="1471" t="s">
        <v>1025</v>
      </c>
      <c r="E33" s="1471" t="s">
        <v>914</v>
      </c>
      <c r="F33" s="1536" t="s">
        <v>821</v>
      </c>
      <c r="G33" s="1537" t="s">
        <v>639</v>
      </c>
      <c r="H33" s="1538" t="s">
        <v>639</v>
      </c>
    </row>
    <row r="34" spans="2:8" s="1209" customFormat="1" x14ac:dyDescent="0.2">
      <c r="B34" s="1663"/>
      <c r="C34" s="1664"/>
      <c r="D34" s="1665"/>
      <c r="E34" s="1665"/>
      <c r="F34" s="1666"/>
      <c r="G34" s="1666" t="s">
        <v>641</v>
      </c>
      <c r="H34" s="1667" t="s">
        <v>510</v>
      </c>
    </row>
    <row r="35" spans="2:8" s="1217" customFormat="1" ht="15.75" x14ac:dyDescent="0.25">
      <c r="B35" s="1668">
        <v>3</v>
      </c>
      <c r="C35" s="1682" t="s">
        <v>604</v>
      </c>
      <c r="D35" s="1612"/>
      <c r="E35" s="1683"/>
      <c r="F35" s="1684"/>
      <c r="G35" s="1684"/>
      <c r="H35" s="1685"/>
    </row>
    <row r="36" spans="2:8" s="1217" customFormat="1" x14ac:dyDescent="0.2">
      <c r="B36" s="1674"/>
      <c r="C36" s="1424" t="s">
        <v>1026</v>
      </c>
      <c r="D36" s="1675" t="s">
        <v>1296</v>
      </c>
      <c r="E36" s="1558">
        <v>10</v>
      </c>
      <c r="F36" s="1541">
        <v>1</v>
      </c>
      <c r="G36" s="1426">
        <f>IF(E36=0,0,IF(E36&gt;=15,15,IF(E36&lt;=14,E36)))</f>
        <v>10</v>
      </c>
      <c r="H36" s="1390">
        <f t="shared" ref="H36:H45" si="4">G36/15</f>
        <v>0.66666666666666663</v>
      </c>
    </row>
    <row r="37" spans="2:8" s="1217" customFormat="1" x14ac:dyDescent="0.2">
      <c r="B37" s="1674"/>
      <c r="C37" s="1424" t="s">
        <v>1027</v>
      </c>
      <c r="D37" s="1675" t="s">
        <v>1298</v>
      </c>
      <c r="E37" s="1558">
        <v>1</v>
      </c>
      <c r="F37" s="1541">
        <v>1</v>
      </c>
      <c r="G37" s="1426">
        <f>IF(E37=0,0,IF(E37&gt;=15,15,IF(E37&lt;=14,E37)))</f>
        <v>1</v>
      </c>
      <c r="H37" s="1390">
        <f t="shared" si="4"/>
        <v>6.6666666666666666E-2</v>
      </c>
    </row>
    <row r="38" spans="2:8" s="1217" customFormat="1" x14ac:dyDescent="0.2">
      <c r="B38" s="1674"/>
      <c r="C38" s="1424" t="s">
        <v>1028</v>
      </c>
      <c r="D38" s="1675" t="s">
        <v>1299</v>
      </c>
      <c r="E38" s="1558">
        <v>3</v>
      </c>
      <c r="F38" s="1541">
        <v>1</v>
      </c>
      <c r="G38" s="1426">
        <f t="shared" ref="G38:G44" si="5">IF(E38=0,0,IF(E38&gt;=15,15,IF(E38&lt;=14,E38)))</f>
        <v>3</v>
      </c>
      <c r="H38" s="1390">
        <f t="shared" si="4"/>
        <v>0.2</v>
      </c>
    </row>
    <row r="39" spans="2:8" s="1217" customFormat="1" x14ac:dyDescent="0.2">
      <c r="B39" s="1674"/>
      <c r="C39" s="1424" t="s">
        <v>1029</v>
      </c>
      <c r="D39" s="1675"/>
      <c r="E39" s="1558"/>
      <c r="F39" s="1541">
        <v>1</v>
      </c>
      <c r="G39" s="1426">
        <f t="shared" si="5"/>
        <v>0</v>
      </c>
      <c r="H39" s="1390">
        <f t="shared" si="4"/>
        <v>0</v>
      </c>
    </row>
    <row r="40" spans="2:8" s="1217" customFormat="1" x14ac:dyDescent="0.2">
      <c r="B40" s="1674"/>
      <c r="C40" s="1424" t="s">
        <v>1030</v>
      </c>
      <c r="D40" s="1675"/>
      <c r="E40" s="1558"/>
      <c r="F40" s="1541">
        <v>1</v>
      </c>
      <c r="G40" s="1426">
        <f t="shared" si="5"/>
        <v>0</v>
      </c>
      <c r="H40" s="1390">
        <f t="shared" si="4"/>
        <v>0</v>
      </c>
    </row>
    <row r="41" spans="2:8" s="1217" customFormat="1" x14ac:dyDescent="0.2">
      <c r="B41" s="1674"/>
      <c r="C41" s="1424" t="s">
        <v>1031</v>
      </c>
      <c r="D41" s="1675"/>
      <c r="E41" s="1558"/>
      <c r="F41" s="1541">
        <v>1</v>
      </c>
      <c r="G41" s="1426">
        <f t="shared" si="5"/>
        <v>0</v>
      </c>
      <c r="H41" s="1390">
        <f t="shared" si="4"/>
        <v>0</v>
      </c>
    </row>
    <row r="42" spans="2:8" s="1217" customFormat="1" x14ac:dyDescent="0.2">
      <c r="B42" s="1674"/>
      <c r="C42" s="1424" t="s">
        <v>1032</v>
      </c>
      <c r="D42" s="1675"/>
      <c r="E42" s="1558"/>
      <c r="F42" s="1541">
        <v>1</v>
      </c>
      <c r="G42" s="1426">
        <f t="shared" si="5"/>
        <v>0</v>
      </c>
      <c r="H42" s="1390">
        <f t="shared" si="4"/>
        <v>0</v>
      </c>
    </row>
    <row r="43" spans="2:8" s="1217" customFormat="1" x14ac:dyDescent="0.2">
      <c r="B43" s="1674"/>
      <c r="C43" s="1424" t="s">
        <v>1033</v>
      </c>
      <c r="D43" s="1675"/>
      <c r="E43" s="1558"/>
      <c r="F43" s="1541">
        <v>1</v>
      </c>
      <c r="G43" s="1426">
        <f t="shared" si="5"/>
        <v>0</v>
      </c>
      <c r="H43" s="1390">
        <f t="shared" si="4"/>
        <v>0</v>
      </c>
    </row>
    <row r="44" spans="2:8" s="1217" customFormat="1" x14ac:dyDescent="0.2">
      <c r="B44" s="1674"/>
      <c r="C44" s="1424" t="s">
        <v>1034</v>
      </c>
      <c r="D44" s="1675"/>
      <c r="E44" s="1558"/>
      <c r="F44" s="1541">
        <v>1</v>
      </c>
      <c r="G44" s="1426">
        <f t="shared" si="5"/>
        <v>0</v>
      </c>
      <c r="H44" s="1390">
        <f t="shared" si="4"/>
        <v>0</v>
      </c>
    </row>
    <row r="45" spans="2:8" s="1217" customFormat="1" x14ac:dyDescent="0.2">
      <c r="B45" s="1674"/>
      <c r="C45" s="1424" t="s">
        <v>1035</v>
      </c>
      <c r="D45" s="1675"/>
      <c r="E45" s="1558"/>
      <c r="F45" s="1541">
        <v>1</v>
      </c>
      <c r="G45" s="1426">
        <f>IF(E45=0,0,IF(E45&gt;=15,15,IF(E45&lt;=14,E45)))</f>
        <v>0</v>
      </c>
      <c r="H45" s="1390">
        <f t="shared" si="4"/>
        <v>0</v>
      </c>
    </row>
    <row r="46" spans="2:8" s="1217" customFormat="1" x14ac:dyDescent="0.2">
      <c r="B46" s="1676"/>
      <c r="C46" s="1639"/>
      <c r="D46" s="1680"/>
      <c r="E46" s="1543"/>
      <c r="F46" s="1329" t="s">
        <v>456</v>
      </c>
      <c r="G46" s="1282">
        <f>SUM(G36:G45)</f>
        <v>14</v>
      </c>
      <c r="H46" s="1283">
        <f>SUM(H36:H45)</f>
        <v>0.93333333333333335</v>
      </c>
    </row>
    <row r="47" spans="2:8" s="1217" customFormat="1" ht="15.75" x14ac:dyDescent="0.25">
      <c r="B47" s="1668">
        <v>4</v>
      </c>
      <c r="C47" s="1669" t="s">
        <v>605</v>
      </c>
      <c r="D47" s="1670"/>
      <c r="E47" s="1671"/>
      <c r="F47" s="1672"/>
      <c r="G47" s="1672"/>
      <c r="H47" s="1673"/>
    </row>
    <row r="48" spans="2:8" s="1217" customFormat="1" x14ac:dyDescent="0.2">
      <c r="B48" s="1674"/>
      <c r="C48" s="1424" t="s">
        <v>1026</v>
      </c>
      <c r="D48" s="1675"/>
      <c r="E48" s="1558"/>
      <c r="F48" s="1541">
        <v>10</v>
      </c>
      <c r="G48" s="1426">
        <f>E48*F48</f>
        <v>0</v>
      </c>
      <c r="H48" s="1390">
        <f>G48/15</f>
        <v>0</v>
      </c>
    </row>
    <row r="49" spans="2:8" s="1217" customFormat="1" x14ac:dyDescent="0.2">
      <c r="B49" s="1674"/>
      <c r="C49" s="1424" t="s">
        <v>1027</v>
      </c>
      <c r="D49" s="1675"/>
      <c r="E49" s="1558"/>
      <c r="F49" s="1541">
        <v>10</v>
      </c>
      <c r="G49" s="1426">
        <f t="shared" ref="G49:G57" si="6">E49*F49</f>
        <v>0</v>
      </c>
      <c r="H49" s="1390">
        <f t="shared" ref="H49:H57" si="7">G49/15</f>
        <v>0</v>
      </c>
    </row>
    <row r="50" spans="2:8" s="1217" customFormat="1" x14ac:dyDescent="0.2">
      <c r="B50" s="1674"/>
      <c r="C50" s="1424" t="s">
        <v>1028</v>
      </c>
      <c r="D50" s="1675"/>
      <c r="E50" s="1558"/>
      <c r="F50" s="1541">
        <v>10</v>
      </c>
      <c r="G50" s="1426">
        <f t="shared" si="6"/>
        <v>0</v>
      </c>
      <c r="H50" s="1390">
        <f t="shared" si="7"/>
        <v>0</v>
      </c>
    </row>
    <row r="51" spans="2:8" s="1217" customFormat="1" x14ac:dyDescent="0.2">
      <c r="B51" s="1674"/>
      <c r="C51" s="1424" t="s">
        <v>1029</v>
      </c>
      <c r="D51" s="1675"/>
      <c r="E51" s="1558"/>
      <c r="F51" s="1541">
        <v>10</v>
      </c>
      <c r="G51" s="1426">
        <f t="shared" si="6"/>
        <v>0</v>
      </c>
      <c r="H51" s="1390">
        <f t="shared" si="7"/>
        <v>0</v>
      </c>
    </row>
    <row r="52" spans="2:8" s="1217" customFormat="1" x14ac:dyDescent="0.2">
      <c r="B52" s="1674"/>
      <c r="C52" s="1424" t="s">
        <v>1030</v>
      </c>
      <c r="D52" s="1675"/>
      <c r="E52" s="1558"/>
      <c r="F52" s="1541">
        <v>10</v>
      </c>
      <c r="G52" s="1426">
        <f t="shared" si="6"/>
        <v>0</v>
      </c>
      <c r="H52" s="1390">
        <f t="shared" si="7"/>
        <v>0</v>
      </c>
    </row>
    <row r="53" spans="2:8" s="1217" customFormat="1" x14ac:dyDescent="0.2">
      <c r="B53" s="1674"/>
      <c r="C53" s="1424" t="s">
        <v>1031</v>
      </c>
      <c r="D53" s="1675"/>
      <c r="E53" s="1558"/>
      <c r="F53" s="1541">
        <v>10</v>
      </c>
      <c r="G53" s="1426">
        <f t="shared" si="6"/>
        <v>0</v>
      </c>
      <c r="H53" s="1390">
        <f t="shared" si="7"/>
        <v>0</v>
      </c>
    </row>
    <row r="54" spans="2:8" s="1217" customFormat="1" x14ac:dyDescent="0.2">
      <c r="B54" s="1674"/>
      <c r="C54" s="1424" t="s">
        <v>1032</v>
      </c>
      <c r="D54" s="1675"/>
      <c r="E54" s="1558"/>
      <c r="F54" s="1541">
        <v>10</v>
      </c>
      <c r="G54" s="1426">
        <f t="shared" si="6"/>
        <v>0</v>
      </c>
      <c r="H54" s="1390">
        <f t="shared" si="7"/>
        <v>0</v>
      </c>
    </row>
    <row r="55" spans="2:8" s="1217" customFormat="1" x14ac:dyDescent="0.2">
      <c r="B55" s="1674"/>
      <c r="C55" s="1424" t="s">
        <v>1033</v>
      </c>
      <c r="D55" s="1675"/>
      <c r="E55" s="1558"/>
      <c r="F55" s="1541">
        <v>10</v>
      </c>
      <c r="G55" s="1426">
        <f t="shared" si="6"/>
        <v>0</v>
      </c>
      <c r="H55" s="1390">
        <f t="shared" si="7"/>
        <v>0</v>
      </c>
    </row>
    <row r="56" spans="2:8" s="1217" customFormat="1" x14ac:dyDescent="0.2">
      <c r="B56" s="1674"/>
      <c r="C56" s="1424" t="s">
        <v>1034</v>
      </c>
      <c r="D56" s="1675"/>
      <c r="E56" s="1558"/>
      <c r="F56" s="1541">
        <v>10</v>
      </c>
      <c r="G56" s="1426">
        <f t="shared" si="6"/>
        <v>0</v>
      </c>
      <c r="H56" s="1390">
        <f t="shared" si="7"/>
        <v>0</v>
      </c>
    </row>
    <row r="57" spans="2:8" s="1217" customFormat="1" x14ac:dyDescent="0.2">
      <c r="B57" s="1674"/>
      <c r="C57" s="1424" t="s">
        <v>1035</v>
      </c>
      <c r="D57" s="1675"/>
      <c r="E57" s="1558"/>
      <c r="F57" s="1541">
        <v>10</v>
      </c>
      <c r="G57" s="1426">
        <f t="shared" si="6"/>
        <v>0</v>
      </c>
      <c r="H57" s="1390">
        <f t="shared" si="7"/>
        <v>0</v>
      </c>
    </row>
    <row r="58" spans="2:8" s="1217" customFormat="1" x14ac:dyDescent="0.2">
      <c r="B58" s="1676"/>
      <c r="C58" s="1639"/>
      <c r="D58" s="1680"/>
      <c r="E58" s="1543"/>
      <c r="F58" s="1329" t="s">
        <v>456</v>
      </c>
      <c r="G58" s="1282">
        <f>SUM(G48:G57)</f>
        <v>0</v>
      </c>
      <c r="H58" s="1283">
        <f>SUM(H48:H57)</f>
        <v>0</v>
      </c>
    </row>
  </sheetData>
  <sheetProtection password="DC5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v.4.3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B2:K114"/>
  <sheetViews>
    <sheetView showGridLines="0" topLeftCell="A78" workbookViewId="0">
      <selection activeCell="D31" sqref="D31"/>
    </sheetView>
  </sheetViews>
  <sheetFormatPr defaultRowHeight="12.75" x14ac:dyDescent="0.2"/>
  <cols>
    <col min="1" max="1" width="1.375" style="1503" customWidth="1"/>
    <col min="2" max="2" width="4.875" style="1503" customWidth="1"/>
    <col min="3" max="3" width="13.375" style="1503" customWidth="1"/>
    <col min="4" max="4" width="42.125" style="1503" customWidth="1"/>
    <col min="5" max="5" width="12.375" style="1503" customWidth="1"/>
    <col min="6" max="6" width="12.125" style="1503" customWidth="1"/>
    <col min="7" max="7" width="13.125" style="1503" customWidth="1"/>
    <col min="8" max="8" width="12.625" style="1503" customWidth="1"/>
    <col min="9" max="10" width="9" style="1503"/>
    <col min="11" max="11" width="8" style="1504" customWidth="1"/>
    <col min="12" max="257" width="9" style="1503"/>
    <col min="258" max="258" width="4.875" style="1503" customWidth="1"/>
    <col min="259" max="259" width="13.375" style="1503" customWidth="1"/>
    <col min="260" max="260" width="42.125" style="1503" customWidth="1"/>
    <col min="261" max="261" width="12.375" style="1503" customWidth="1"/>
    <col min="262" max="262" width="12.125" style="1503" customWidth="1"/>
    <col min="263" max="263" width="13.125" style="1503" customWidth="1"/>
    <col min="264" max="264" width="12.625" style="1503" customWidth="1"/>
    <col min="265" max="513" width="9" style="1503"/>
    <col min="514" max="514" width="4.875" style="1503" customWidth="1"/>
    <col min="515" max="515" width="13.375" style="1503" customWidth="1"/>
    <col min="516" max="516" width="42.125" style="1503" customWidth="1"/>
    <col min="517" max="517" width="12.375" style="1503" customWidth="1"/>
    <col min="518" max="518" width="12.125" style="1503" customWidth="1"/>
    <col min="519" max="519" width="13.125" style="1503" customWidth="1"/>
    <col min="520" max="520" width="12.625" style="1503" customWidth="1"/>
    <col min="521" max="769" width="9" style="1503"/>
    <col min="770" max="770" width="4.875" style="1503" customWidth="1"/>
    <col min="771" max="771" width="13.375" style="1503" customWidth="1"/>
    <col min="772" max="772" width="42.125" style="1503" customWidth="1"/>
    <col min="773" max="773" width="12.375" style="1503" customWidth="1"/>
    <col min="774" max="774" width="12.125" style="1503" customWidth="1"/>
    <col min="775" max="775" width="13.125" style="1503" customWidth="1"/>
    <col min="776" max="776" width="12.625" style="1503" customWidth="1"/>
    <col min="777" max="1025" width="9" style="1503"/>
    <col min="1026" max="1026" width="4.875" style="1503" customWidth="1"/>
    <col min="1027" max="1027" width="13.375" style="1503" customWidth="1"/>
    <col min="1028" max="1028" width="42.125" style="1503" customWidth="1"/>
    <col min="1029" max="1029" width="12.375" style="1503" customWidth="1"/>
    <col min="1030" max="1030" width="12.125" style="1503" customWidth="1"/>
    <col min="1031" max="1031" width="13.125" style="1503" customWidth="1"/>
    <col min="1032" max="1032" width="12.625" style="1503" customWidth="1"/>
    <col min="1033" max="1281" width="9" style="1503"/>
    <col min="1282" max="1282" width="4.875" style="1503" customWidth="1"/>
    <col min="1283" max="1283" width="13.375" style="1503" customWidth="1"/>
    <col min="1284" max="1284" width="42.125" style="1503" customWidth="1"/>
    <col min="1285" max="1285" width="12.375" style="1503" customWidth="1"/>
    <col min="1286" max="1286" width="12.125" style="1503" customWidth="1"/>
    <col min="1287" max="1287" width="13.125" style="1503" customWidth="1"/>
    <col min="1288" max="1288" width="12.625" style="1503" customWidth="1"/>
    <col min="1289" max="1537" width="9" style="1503"/>
    <col min="1538" max="1538" width="4.875" style="1503" customWidth="1"/>
    <col min="1539" max="1539" width="13.375" style="1503" customWidth="1"/>
    <col min="1540" max="1540" width="42.125" style="1503" customWidth="1"/>
    <col min="1541" max="1541" width="12.375" style="1503" customWidth="1"/>
    <col min="1542" max="1542" width="12.125" style="1503" customWidth="1"/>
    <col min="1543" max="1543" width="13.125" style="1503" customWidth="1"/>
    <col min="1544" max="1544" width="12.625" style="1503" customWidth="1"/>
    <col min="1545" max="1793" width="9" style="1503"/>
    <col min="1794" max="1794" width="4.875" style="1503" customWidth="1"/>
    <col min="1795" max="1795" width="13.375" style="1503" customWidth="1"/>
    <col min="1796" max="1796" width="42.125" style="1503" customWidth="1"/>
    <col min="1797" max="1797" width="12.375" style="1503" customWidth="1"/>
    <col min="1798" max="1798" width="12.125" style="1503" customWidth="1"/>
    <col min="1799" max="1799" width="13.125" style="1503" customWidth="1"/>
    <col min="1800" max="1800" width="12.625" style="1503" customWidth="1"/>
    <col min="1801" max="2049" width="9" style="1503"/>
    <col min="2050" max="2050" width="4.875" style="1503" customWidth="1"/>
    <col min="2051" max="2051" width="13.375" style="1503" customWidth="1"/>
    <col min="2052" max="2052" width="42.125" style="1503" customWidth="1"/>
    <col min="2053" max="2053" width="12.375" style="1503" customWidth="1"/>
    <col min="2054" max="2054" width="12.125" style="1503" customWidth="1"/>
    <col min="2055" max="2055" width="13.125" style="1503" customWidth="1"/>
    <col min="2056" max="2056" width="12.625" style="1503" customWidth="1"/>
    <col min="2057" max="2305" width="9" style="1503"/>
    <col min="2306" max="2306" width="4.875" style="1503" customWidth="1"/>
    <col min="2307" max="2307" width="13.375" style="1503" customWidth="1"/>
    <col min="2308" max="2308" width="42.125" style="1503" customWidth="1"/>
    <col min="2309" max="2309" width="12.375" style="1503" customWidth="1"/>
    <col min="2310" max="2310" width="12.125" style="1503" customWidth="1"/>
    <col min="2311" max="2311" width="13.125" style="1503" customWidth="1"/>
    <col min="2312" max="2312" width="12.625" style="1503" customWidth="1"/>
    <col min="2313" max="2561" width="9" style="1503"/>
    <col min="2562" max="2562" width="4.875" style="1503" customWidth="1"/>
    <col min="2563" max="2563" width="13.375" style="1503" customWidth="1"/>
    <col min="2564" max="2564" width="42.125" style="1503" customWidth="1"/>
    <col min="2565" max="2565" width="12.375" style="1503" customWidth="1"/>
    <col min="2566" max="2566" width="12.125" style="1503" customWidth="1"/>
    <col min="2567" max="2567" width="13.125" style="1503" customWidth="1"/>
    <col min="2568" max="2568" width="12.625" style="1503" customWidth="1"/>
    <col min="2569" max="2817" width="9" style="1503"/>
    <col min="2818" max="2818" width="4.875" style="1503" customWidth="1"/>
    <col min="2819" max="2819" width="13.375" style="1503" customWidth="1"/>
    <col min="2820" max="2820" width="42.125" style="1503" customWidth="1"/>
    <col min="2821" max="2821" width="12.375" style="1503" customWidth="1"/>
    <col min="2822" max="2822" width="12.125" style="1503" customWidth="1"/>
    <col min="2823" max="2823" width="13.125" style="1503" customWidth="1"/>
    <col min="2824" max="2824" width="12.625" style="1503" customWidth="1"/>
    <col min="2825" max="3073" width="9" style="1503"/>
    <col min="3074" max="3074" width="4.875" style="1503" customWidth="1"/>
    <col min="3075" max="3075" width="13.375" style="1503" customWidth="1"/>
    <col min="3076" max="3076" width="42.125" style="1503" customWidth="1"/>
    <col min="3077" max="3077" width="12.375" style="1503" customWidth="1"/>
    <col min="3078" max="3078" width="12.125" style="1503" customWidth="1"/>
    <col min="3079" max="3079" width="13.125" style="1503" customWidth="1"/>
    <col min="3080" max="3080" width="12.625" style="1503" customWidth="1"/>
    <col min="3081" max="3329" width="9" style="1503"/>
    <col min="3330" max="3330" width="4.875" style="1503" customWidth="1"/>
    <col min="3331" max="3331" width="13.375" style="1503" customWidth="1"/>
    <col min="3332" max="3332" width="42.125" style="1503" customWidth="1"/>
    <col min="3333" max="3333" width="12.375" style="1503" customWidth="1"/>
    <col min="3334" max="3334" width="12.125" style="1503" customWidth="1"/>
    <col min="3335" max="3335" width="13.125" style="1503" customWidth="1"/>
    <col min="3336" max="3336" width="12.625" style="1503" customWidth="1"/>
    <col min="3337" max="3585" width="9" style="1503"/>
    <col min="3586" max="3586" width="4.875" style="1503" customWidth="1"/>
    <col min="3587" max="3587" width="13.375" style="1503" customWidth="1"/>
    <col min="3588" max="3588" width="42.125" style="1503" customWidth="1"/>
    <col min="3589" max="3589" width="12.375" style="1503" customWidth="1"/>
    <col min="3590" max="3590" width="12.125" style="1503" customWidth="1"/>
    <col min="3591" max="3591" width="13.125" style="1503" customWidth="1"/>
    <col min="3592" max="3592" width="12.625" style="1503" customWidth="1"/>
    <col min="3593" max="3841" width="9" style="1503"/>
    <col min="3842" max="3842" width="4.875" style="1503" customWidth="1"/>
    <col min="3843" max="3843" width="13.375" style="1503" customWidth="1"/>
    <col min="3844" max="3844" width="42.125" style="1503" customWidth="1"/>
    <col min="3845" max="3845" width="12.375" style="1503" customWidth="1"/>
    <col min="3846" max="3846" width="12.125" style="1503" customWidth="1"/>
    <col min="3847" max="3847" width="13.125" style="1503" customWidth="1"/>
    <col min="3848" max="3848" width="12.625" style="1503" customWidth="1"/>
    <col min="3849" max="4097" width="9" style="1503"/>
    <col min="4098" max="4098" width="4.875" style="1503" customWidth="1"/>
    <col min="4099" max="4099" width="13.375" style="1503" customWidth="1"/>
    <col min="4100" max="4100" width="42.125" style="1503" customWidth="1"/>
    <col min="4101" max="4101" width="12.375" style="1503" customWidth="1"/>
    <col min="4102" max="4102" width="12.125" style="1503" customWidth="1"/>
    <col min="4103" max="4103" width="13.125" style="1503" customWidth="1"/>
    <col min="4104" max="4104" width="12.625" style="1503" customWidth="1"/>
    <col min="4105" max="4353" width="9" style="1503"/>
    <col min="4354" max="4354" width="4.875" style="1503" customWidth="1"/>
    <col min="4355" max="4355" width="13.375" style="1503" customWidth="1"/>
    <col min="4356" max="4356" width="42.125" style="1503" customWidth="1"/>
    <col min="4357" max="4357" width="12.375" style="1503" customWidth="1"/>
    <col min="4358" max="4358" width="12.125" style="1503" customWidth="1"/>
    <col min="4359" max="4359" width="13.125" style="1503" customWidth="1"/>
    <col min="4360" max="4360" width="12.625" style="1503" customWidth="1"/>
    <col min="4361" max="4609" width="9" style="1503"/>
    <col min="4610" max="4610" width="4.875" style="1503" customWidth="1"/>
    <col min="4611" max="4611" width="13.375" style="1503" customWidth="1"/>
    <col min="4612" max="4612" width="42.125" style="1503" customWidth="1"/>
    <col min="4613" max="4613" width="12.375" style="1503" customWidth="1"/>
    <col min="4614" max="4614" width="12.125" style="1503" customWidth="1"/>
    <col min="4615" max="4615" width="13.125" style="1503" customWidth="1"/>
    <col min="4616" max="4616" width="12.625" style="1503" customWidth="1"/>
    <col min="4617" max="4865" width="9" style="1503"/>
    <col min="4866" max="4866" width="4.875" style="1503" customWidth="1"/>
    <col min="4867" max="4867" width="13.375" style="1503" customWidth="1"/>
    <col min="4868" max="4868" width="42.125" style="1503" customWidth="1"/>
    <col min="4869" max="4869" width="12.375" style="1503" customWidth="1"/>
    <col min="4870" max="4870" width="12.125" style="1503" customWidth="1"/>
    <col min="4871" max="4871" width="13.125" style="1503" customWidth="1"/>
    <col min="4872" max="4872" width="12.625" style="1503" customWidth="1"/>
    <col min="4873" max="5121" width="9" style="1503"/>
    <col min="5122" max="5122" width="4.875" style="1503" customWidth="1"/>
    <col min="5123" max="5123" width="13.375" style="1503" customWidth="1"/>
    <col min="5124" max="5124" width="42.125" style="1503" customWidth="1"/>
    <col min="5125" max="5125" width="12.375" style="1503" customWidth="1"/>
    <col min="5126" max="5126" width="12.125" style="1503" customWidth="1"/>
    <col min="5127" max="5127" width="13.125" style="1503" customWidth="1"/>
    <col min="5128" max="5128" width="12.625" style="1503" customWidth="1"/>
    <col min="5129" max="5377" width="9" style="1503"/>
    <col min="5378" max="5378" width="4.875" style="1503" customWidth="1"/>
    <col min="5379" max="5379" width="13.375" style="1503" customWidth="1"/>
    <col min="5380" max="5380" width="42.125" style="1503" customWidth="1"/>
    <col min="5381" max="5381" width="12.375" style="1503" customWidth="1"/>
    <col min="5382" max="5382" width="12.125" style="1503" customWidth="1"/>
    <col min="5383" max="5383" width="13.125" style="1503" customWidth="1"/>
    <col min="5384" max="5384" width="12.625" style="1503" customWidth="1"/>
    <col min="5385" max="5633" width="9" style="1503"/>
    <col min="5634" max="5634" width="4.875" style="1503" customWidth="1"/>
    <col min="5635" max="5635" width="13.375" style="1503" customWidth="1"/>
    <col min="5636" max="5636" width="42.125" style="1503" customWidth="1"/>
    <col min="5637" max="5637" width="12.375" style="1503" customWidth="1"/>
    <col min="5638" max="5638" width="12.125" style="1503" customWidth="1"/>
    <col min="5639" max="5639" width="13.125" style="1503" customWidth="1"/>
    <col min="5640" max="5640" width="12.625" style="1503" customWidth="1"/>
    <col min="5641" max="5889" width="9" style="1503"/>
    <col min="5890" max="5890" width="4.875" style="1503" customWidth="1"/>
    <col min="5891" max="5891" width="13.375" style="1503" customWidth="1"/>
    <col min="5892" max="5892" width="42.125" style="1503" customWidth="1"/>
    <col min="5893" max="5893" width="12.375" style="1503" customWidth="1"/>
    <col min="5894" max="5894" width="12.125" style="1503" customWidth="1"/>
    <col min="5895" max="5895" width="13.125" style="1503" customWidth="1"/>
    <col min="5896" max="5896" width="12.625" style="1503" customWidth="1"/>
    <col min="5897" max="6145" width="9" style="1503"/>
    <col min="6146" max="6146" width="4.875" style="1503" customWidth="1"/>
    <col min="6147" max="6147" width="13.375" style="1503" customWidth="1"/>
    <col min="6148" max="6148" width="42.125" style="1503" customWidth="1"/>
    <col min="6149" max="6149" width="12.375" style="1503" customWidth="1"/>
    <col min="6150" max="6150" width="12.125" style="1503" customWidth="1"/>
    <col min="6151" max="6151" width="13.125" style="1503" customWidth="1"/>
    <col min="6152" max="6152" width="12.625" style="1503" customWidth="1"/>
    <col min="6153" max="6401" width="9" style="1503"/>
    <col min="6402" max="6402" width="4.875" style="1503" customWidth="1"/>
    <col min="6403" max="6403" width="13.375" style="1503" customWidth="1"/>
    <col min="6404" max="6404" width="42.125" style="1503" customWidth="1"/>
    <col min="6405" max="6405" width="12.375" style="1503" customWidth="1"/>
    <col min="6406" max="6406" width="12.125" style="1503" customWidth="1"/>
    <col min="6407" max="6407" width="13.125" style="1503" customWidth="1"/>
    <col min="6408" max="6408" width="12.625" style="1503" customWidth="1"/>
    <col min="6409" max="6657" width="9" style="1503"/>
    <col min="6658" max="6658" width="4.875" style="1503" customWidth="1"/>
    <col min="6659" max="6659" width="13.375" style="1503" customWidth="1"/>
    <col min="6660" max="6660" width="42.125" style="1503" customWidth="1"/>
    <col min="6661" max="6661" width="12.375" style="1503" customWidth="1"/>
    <col min="6662" max="6662" width="12.125" style="1503" customWidth="1"/>
    <col min="6663" max="6663" width="13.125" style="1503" customWidth="1"/>
    <col min="6664" max="6664" width="12.625" style="1503" customWidth="1"/>
    <col min="6665" max="6913" width="9" style="1503"/>
    <col min="6914" max="6914" width="4.875" style="1503" customWidth="1"/>
    <col min="6915" max="6915" width="13.375" style="1503" customWidth="1"/>
    <col min="6916" max="6916" width="42.125" style="1503" customWidth="1"/>
    <col min="6917" max="6917" width="12.375" style="1503" customWidth="1"/>
    <col min="6918" max="6918" width="12.125" style="1503" customWidth="1"/>
    <col min="6919" max="6919" width="13.125" style="1503" customWidth="1"/>
    <col min="6920" max="6920" width="12.625" style="1503" customWidth="1"/>
    <col min="6921" max="7169" width="9" style="1503"/>
    <col min="7170" max="7170" width="4.875" style="1503" customWidth="1"/>
    <col min="7171" max="7171" width="13.375" style="1503" customWidth="1"/>
    <col min="7172" max="7172" width="42.125" style="1503" customWidth="1"/>
    <col min="7173" max="7173" width="12.375" style="1503" customWidth="1"/>
    <col min="7174" max="7174" width="12.125" style="1503" customWidth="1"/>
    <col min="7175" max="7175" width="13.125" style="1503" customWidth="1"/>
    <col min="7176" max="7176" width="12.625" style="1503" customWidth="1"/>
    <col min="7177" max="7425" width="9" style="1503"/>
    <col min="7426" max="7426" width="4.875" style="1503" customWidth="1"/>
    <col min="7427" max="7427" width="13.375" style="1503" customWidth="1"/>
    <col min="7428" max="7428" width="42.125" style="1503" customWidth="1"/>
    <col min="7429" max="7429" width="12.375" style="1503" customWidth="1"/>
    <col min="7430" max="7430" width="12.125" style="1503" customWidth="1"/>
    <col min="7431" max="7431" width="13.125" style="1503" customWidth="1"/>
    <col min="7432" max="7432" width="12.625" style="1503" customWidth="1"/>
    <col min="7433" max="7681" width="9" style="1503"/>
    <col min="7682" max="7682" width="4.875" style="1503" customWidth="1"/>
    <col min="7683" max="7683" width="13.375" style="1503" customWidth="1"/>
    <col min="7684" max="7684" width="42.125" style="1503" customWidth="1"/>
    <col min="7685" max="7685" width="12.375" style="1503" customWidth="1"/>
    <col min="7686" max="7686" width="12.125" style="1503" customWidth="1"/>
    <col min="7687" max="7687" width="13.125" style="1503" customWidth="1"/>
    <col min="7688" max="7688" width="12.625" style="1503" customWidth="1"/>
    <col min="7689" max="7937" width="9" style="1503"/>
    <col min="7938" max="7938" width="4.875" style="1503" customWidth="1"/>
    <col min="7939" max="7939" width="13.375" style="1503" customWidth="1"/>
    <col min="7940" max="7940" width="42.125" style="1503" customWidth="1"/>
    <col min="7941" max="7941" width="12.375" style="1503" customWidth="1"/>
    <col min="7942" max="7942" width="12.125" style="1503" customWidth="1"/>
    <col min="7943" max="7943" width="13.125" style="1503" customWidth="1"/>
    <col min="7944" max="7944" width="12.625" style="1503" customWidth="1"/>
    <col min="7945" max="8193" width="9" style="1503"/>
    <col min="8194" max="8194" width="4.875" style="1503" customWidth="1"/>
    <col min="8195" max="8195" width="13.375" style="1503" customWidth="1"/>
    <col min="8196" max="8196" width="42.125" style="1503" customWidth="1"/>
    <col min="8197" max="8197" width="12.375" style="1503" customWidth="1"/>
    <col min="8198" max="8198" width="12.125" style="1503" customWidth="1"/>
    <col min="8199" max="8199" width="13.125" style="1503" customWidth="1"/>
    <col min="8200" max="8200" width="12.625" style="1503" customWidth="1"/>
    <col min="8201" max="8449" width="9" style="1503"/>
    <col min="8450" max="8450" width="4.875" style="1503" customWidth="1"/>
    <col min="8451" max="8451" width="13.375" style="1503" customWidth="1"/>
    <col min="8452" max="8452" width="42.125" style="1503" customWidth="1"/>
    <col min="8453" max="8453" width="12.375" style="1503" customWidth="1"/>
    <col min="8454" max="8454" width="12.125" style="1503" customWidth="1"/>
    <col min="8455" max="8455" width="13.125" style="1503" customWidth="1"/>
    <col min="8456" max="8456" width="12.625" style="1503" customWidth="1"/>
    <col min="8457" max="8705" width="9" style="1503"/>
    <col min="8706" max="8706" width="4.875" style="1503" customWidth="1"/>
    <col min="8707" max="8707" width="13.375" style="1503" customWidth="1"/>
    <col min="8708" max="8708" width="42.125" style="1503" customWidth="1"/>
    <col min="8709" max="8709" width="12.375" style="1503" customWidth="1"/>
    <col min="8710" max="8710" width="12.125" style="1503" customWidth="1"/>
    <col min="8711" max="8711" width="13.125" style="1503" customWidth="1"/>
    <col min="8712" max="8712" width="12.625" style="1503" customWidth="1"/>
    <col min="8713" max="8961" width="9" style="1503"/>
    <col min="8962" max="8962" width="4.875" style="1503" customWidth="1"/>
    <col min="8963" max="8963" width="13.375" style="1503" customWidth="1"/>
    <col min="8964" max="8964" width="42.125" style="1503" customWidth="1"/>
    <col min="8965" max="8965" width="12.375" style="1503" customWidth="1"/>
    <col min="8966" max="8966" width="12.125" style="1503" customWidth="1"/>
    <col min="8967" max="8967" width="13.125" style="1503" customWidth="1"/>
    <col min="8968" max="8968" width="12.625" style="1503" customWidth="1"/>
    <col min="8969" max="9217" width="9" style="1503"/>
    <col min="9218" max="9218" width="4.875" style="1503" customWidth="1"/>
    <col min="9219" max="9219" width="13.375" style="1503" customWidth="1"/>
    <col min="9220" max="9220" width="42.125" style="1503" customWidth="1"/>
    <col min="9221" max="9221" width="12.375" style="1503" customWidth="1"/>
    <col min="9222" max="9222" width="12.125" style="1503" customWidth="1"/>
    <col min="9223" max="9223" width="13.125" style="1503" customWidth="1"/>
    <col min="9224" max="9224" width="12.625" style="1503" customWidth="1"/>
    <col min="9225" max="9473" width="9" style="1503"/>
    <col min="9474" max="9474" width="4.875" style="1503" customWidth="1"/>
    <col min="9475" max="9475" width="13.375" style="1503" customWidth="1"/>
    <col min="9476" max="9476" width="42.125" style="1503" customWidth="1"/>
    <col min="9477" max="9477" width="12.375" style="1503" customWidth="1"/>
    <col min="9478" max="9478" width="12.125" style="1503" customWidth="1"/>
    <col min="9479" max="9479" width="13.125" style="1503" customWidth="1"/>
    <col min="9480" max="9480" width="12.625" style="1503" customWidth="1"/>
    <col min="9481" max="9729" width="9" style="1503"/>
    <col min="9730" max="9730" width="4.875" style="1503" customWidth="1"/>
    <col min="9731" max="9731" width="13.375" style="1503" customWidth="1"/>
    <col min="9732" max="9732" width="42.125" style="1503" customWidth="1"/>
    <col min="9733" max="9733" width="12.375" style="1503" customWidth="1"/>
    <col min="9734" max="9734" width="12.125" style="1503" customWidth="1"/>
    <col min="9735" max="9735" width="13.125" style="1503" customWidth="1"/>
    <col min="9736" max="9736" width="12.625" style="1503" customWidth="1"/>
    <col min="9737" max="9985" width="9" style="1503"/>
    <col min="9986" max="9986" width="4.875" style="1503" customWidth="1"/>
    <col min="9987" max="9987" width="13.375" style="1503" customWidth="1"/>
    <col min="9988" max="9988" width="42.125" style="1503" customWidth="1"/>
    <col min="9989" max="9989" width="12.375" style="1503" customWidth="1"/>
    <col min="9990" max="9990" width="12.125" style="1503" customWidth="1"/>
    <col min="9991" max="9991" width="13.125" style="1503" customWidth="1"/>
    <col min="9992" max="9992" width="12.625" style="1503" customWidth="1"/>
    <col min="9993" max="10241" width="9" style="1503"/>
    <col min="10242" max="10242" width="4.875" style="1503" customWidth="1"/>
    <col min="10243" max="10243" width="13.375" style="1503" customWidth="1"/>
    <col min="10244" max="10244" width="42.125" style="1503" customWidth="1"/>
    <col min="10245" max="10245" width="12.375" style="1503" customWidth="1"/>
    <col min="10246" max="10246" width="12.125" style="1503" customWidth="1"/>
    <col min="10247" max="10247" width="13.125" style="1503" customWidth="1"/>
    <col min="10248" max="10248" width="12.625" style="1503" customWidth="1"/>
    <col min="10249" max="10497" width="9" style="1503"/>
    <col min="10498" max="10498" width="4.875" style="1503" customWidth="1"/>
    <col min="10499" max="10499" width="13.375" style="1503" customWidth="1"/>
    <col min="10500" max="10500" width="42.125" style="1503" customWidth="1"/>
    <col min="10501" max="10501" width="12.375" style="1503" customWidth="1"/>
    <col min="10502" max="10502" width="12.125" style="1503" customWidth="1"/>
    <col min="10503" max="10503" width="13.125" style="1503" customWidth="1"/>
    <col min="10504" max="10504" width="12.625" style="1503" customWidth="1"/>
    <col min="10505" max="10753" width="9" style="1503"/>
    <col min="10754" max="10754" width="4.875" style="1503" customWidth="1"/>
    <col min="10755" max="10755" width="13.375" style="1503" customWidth="1"/>
    <col min="10756" max="10756" width="42.125" style="1503" customWidth="1"/>
    <col min="10757" max="10757" width="12.375" style="1503" customWidth="1"/>
    <col min="10758" max="10758" width="12.125" style="1503" customWidth="1"/>
    <col min="10759" max="10759" width="13.125" style="1503" customWidth="1"/>
    <col min="10760" max="10760" width="12.625" style="1503" customWidth="1"/>
    <col min="10761" max="11009" width="9" style="1503"/>
    <col min="11010" max="11010" width="4.875" style="1503" customWidth="1"/>
    <col min="11011" max="11011" width="13.375" style="1503" customWidth="1"/>
    <col min="11012" max="11012" width="42.125" style="1503" customWidth="1"/>
    <col min="11013" max="11013" width="12.375" style="1503" customWidth="1"/>
    <col min="11014" max="11014" width="12.125" style="1503" customWidth="1"/>
    <col min="11015" max="11015" width="13.125" style="1503" customWidth="1"/>
    <col min="11016" max="11016" width="12.625" style="1503" customWidth="1"/>
    <col min="11017" max="11265" width="9" style="1503"/>
    <col min="11266" max="11266" width="4.875" style="1503" customWidth="1"/>
    <col min="11267" max="11267" width="13.375" style="1503" customWidth="1"/>
    <col min="11268" max="11268" width="42.125" style="1503" customWidth="1"/>
    <col min="11269" max="11269" width="12.375" style="1503" customWidth="1"/>
    <col min="11270" max="11270" width="12.125" style="1503" customWidth="1"/>
    <col min="11271" max="11271" width="13.125" style="1503" customWidth="1"/>
    <col min="11272" max="11272" width="12.625" style="1503" customWidth="1"/>
    <col min="11273" max="11521" width="9" style="1503"/>
    <col min="11522" max="11522" width="4.875" style="1503" customWidth="1"/>
    <col min="11523" max="11523" width="13.375" style="1503" customWidth="1"/>
    <col min="11524" max="11524" width="42.125" style="1503" customWidth="1"/>
    <col min="11525" max="11525" width="12.375" style="1503" customWidth="1"/>
    <col min="11526" max="11526" width="12.125" style="1503" customWidth="1"/>
    <col min="11527" max="11527" width="13.125" style="1503" customWidth="1"/>
    <col min="11528" max="11528" width="12.625" style="1503" customWidth="1"/>
    <col min="11529" max="11777" width="9" style="1503"/>
    <col min="11778" max="11778" width="4.875" style="1503" customWidth="1"/>
    <col min="11779" max="11779" width="13.375" style="1503" customWidth="1"/>
    <col min="11780" max="11780" width="42.125" style="1503" customWidth="1"/>
    <col min="11781" max="11781" width="12.375" style="1503" customWidth="1"/>
    <col min="11782" max="11782" width="12.125" style="1503" customWidth="1"/>
    <col min="11783" max="11783" width="13.125" style="1503" customWidth="1"/>
    <col min="11784" max="11784" width="12.625" style="1503" customWidth="1"/>
    <col min="11785" max="12033" width="9" style="1503"/>
    <col min="12034" max="12034" width="4.875" style="1503" customWidth="1"/>
    <col min="12035" max="12035" width="13.375" style="1503" customWidth="1"/>
    <col min="12036" max="12036" width="42.125" style="1503" customWidth="1"/>
    <col min="12037" max="12037" width="12.375" style="1503" customWidth="1"/>
    <col min="12038" max="12038" width="12.125" style="1503" customWidth="1"/>
    <col min="12039" max="12039" width="13.125" style="1503" customWidth="1"/>
    <col min="12040" max="12040" width="12.625" style="1503" customWidth="1"/>
    <col min="12041" max="12289" width="9" style="1503"/>
    <col min="12290" max="12290" width="4.875" style="1503" customWidth="1"/>
    <col min="12291" max="12291" width="13.375" style="1503" customWidth="1"/>
    <col min="12292" max="12292" width="42.125" style="1503" customWidth="1"/>
    <col min="12293" max="12293" width="12.375" style="1503" customWidth="1"/>
    <col min="12294" max="12294" width="12.125" style="1503" customWidth="1"/>
    <col min="12295" max="12295" width="13.125" style="1503" customWidth="1"/>
    <col min="12296" max="12296" width="12.625" style="1503" customWidth="1"/>
    <col min="12297" max="12545" width="9" style="1503"/>
    <col min="12546" max="12546" width="4.875" style="1503" customWidth="1"/>
    <col min="12547" max="12547" width="13.375" style="1503" customWidth="1"/>
    <col min="12548" max="12548" width="42.125" style="1503" customWidth="1"/>
    <col min="12549" max="12549" width="12.375" style="1503" customWidth="1"/>
    <col min="12550" max="12550" width="12.125" style="1503" customWidth="1"/>
    <col min="12551" max="12551" width="13.125" style="1503" customWidth="1"/>
    <col min="12552" max="12552" width="12.625" style="1503" customWidth="1"/>
    <col min="12553" max="12801" width="9" style="1503"/>
    <col min="12802" max="12802" width="4.875" style="1503" customWidth="1"/>
    <col min="12803" max="12803" width="13.375" style="1503" customWidth="1"/>
    <col min="12804" max="12804" width="42.125" style="1503" customWidth="1"/>
    <col min="12805" max="12805" width="12.375" style="1503" customWidth="1"/>
    <col min="12806" max="12806" width="12.125" style="1503" customWidth="1"/>
    <col min="12807" max="12807" width="13.125" style="1503" customWidth="1"/>
    <col min="12808" max="12808" width="12.625" style="1503" customWidth="1"/>
    <col min="12809" max="13057" width="9" style="1503"/>
    <col min="13058" max="13058" width="4.875" style="1503" customWidth="1"/>
    <col min="13059" max="13059" width="13.375" style="1503" customWidth="1"/>
    <col min="13060" max="13060" width="42.125" style="1503" customWidth="1"/>
    <col min="13061" max="13061" width="12.375" style="1503" customWidth="1"/>
    <col min="13062" max="13062" width="12.125" style="1503" customWidth="1"/>
    <col min="13063" max="13063" width="13.125" style="1503" customWidth="1"/>
    <col min="13064" max="13064" width="12.625" style="1503" customWidth="1"/>
    <col min="13065" max="13313" width="9" style="1503"/>
    <col min="13314" max="13314" width="4.875" style="1503" customWidth="1"/>
    <col min="13315" max="13315" width="13.375" style="1503" customWidth="1"/>
    <col min="13316" max="13316" width="42.125" style="1503" customWidth="1"/>
    <col min="13317" max="13317" width="12.375" style="1503" customWidth="1"/>
    <col min="13318" max="13318" width="12.125" style="1503" customWidth="1"/>
    <col min="13319" max="13319" width="13.125" style="1503" customWidth="1"/>
    <col min="13320" max="13320" width="12.625" style="1503" customWidth="1"/>
    <col min="13321" max="13569" width="9" style="1503"/>
    <col min="13570" max="13570" width="4.875" style="1503" customWidth="1"/>
    <col min="13571" max="13571" width="13.375" style="1503" customWidth="1"/>
    <col min="13572" max="13572" width="42.125" style="1503" customWidth="1"/>
    <col min="13573" max="13573" width="12.375" style="1503" customWidth="1"/>
    <col min="13574" max="13574" width="12.125" style="1503" customWidth="1"/>
    <col min="13575" max="13575" width="13.125" style="1503" customWidth="1"/>
    <col min="13576" max="13576" width="12.625" style="1503" customWidth="1"/>
    <col min="13577" max="13825" width="9" style="1503"/>
    <col min="13826" max="13826" width="4.875" style="1503" customWidth="1"/>
    <col min="13827" max="13827" width="13.375" style="1503" customWidth="1"/>
    <col min="13828" max="13828" width="42.125" style="1503" customWidth="1"/>
    <col min="13829" max="13829" width="12.375" style="1503" customWidth="1"/>
    <col min="13830" max="13830" width="12.125" style="1503" customWidth="1"/>
    <col min="13831" max="13831" width="13.125" style="1503" customWidth="1"/>
    <col min="13832" max="13832" width="12.625" style="1503" customWidth="1"/>
    <col min="13833" max="14081" width="9" style="1503"/>
    <col min="14082" max="14082" width="4.875" style="1503" customWidth="1"/>
    <col min="14083" max="14083" width="13.375" style="1503" customWidth="1"/>
    <col min="14084" max="14084" width="42.125" style="1503" customWidth="1"/>
    <col min="14085" max="14085" width="12.375" style="1503" customWidth="1"/>
    <col min="14086" max="14086" width="12.125" style="1503" customWidth="1"/>
    <col min="14087" max="14087" width="13.125" style="1503" customWidth="1"/>
    <col min="14088" max="14088" width="12.625" style="1503" customWidth="1"/>
    <col min="14089" max="14337" width="9" style="1503"/>
    <col min="14338" max="14338" width="4.875" style="1503" customWidth="1"/>
    <col min="14339" max="14339" width="13.375" style="1503" customWidth="1"/>
    <col min="14340" max="14340" width="42.125" style="1503" customWidth="1"/>
    <col min="14341" max="14341" width="12.375" style="1503" customWidth="1"/>
    <col min="14342" max="14342" width="12.125" style="1503" customWidth="1"/>
    <col min="14343" max="14343" width="13.125" style="1503" customWidth="1"/>
    <col min="14344" max="14344" width="12.625" style="1503" customWidth="1"/>
    <col min="14345" max="14593" width="9" style="1503"/>
    <col min="14594" max="14594" width="4.875" style="1503" customWidth="1"/>
    <col min="14595" max="14595" width="13.375" style="1503" customWidth="1"/>
    <col min="14596" max="14596" width="42.125" style="1503" customWidth="1"/>
    <col min="14597" max="14597" width="12.375" style="1503" customWidth="1"/>
    <col min="14598" max="14598" width="12.125" style="1503" customWidth="1"/>
    <col min="14599" max="14599" width="13.125" style="1503" customWidth="1"/>
    <col min="14600" max="14600" width="12.625" style="1503" customWidth="1"/>
    <col min="14601" max="14849" width="9" style="1503"/>
    <col min="14850" max="14850" width="4.875" style="1503" customWidth="1"/>
    <col min="14851" max="14851" width="13.375" style="1503" customWidth="1"/>
    <col min="14852" max="14852" width="42.125" style="1503" customWidth="1"/>
    <col min="14853" max="14853" width="12.375" style="1503" customWidth="1"/>
    <col min="14854" max="14854" width="12.125" style="1503" customWidth="1"/>
    <col min="14855" max="14855" width="13.125" style="1503" customWidth="1"/>
    <col min="14856" max="14856" width="12.625" style="1503" customWidth="1"/>
    <col min="14857" max="15105" width="9" style="1503"/>
    <col min="15106" max="15106" width="4.875" style="1503" customWidth="1"/>
    <col min="15107" max="15107" width="13.375" style="1503" customWidth="1"/>
    <col min="15108" max="15108" width="42.125" style="1503" customWidth="1"/>
    <col min="15109" max="15109" width="12.375" style="1503" customWidth="1"/>
    <col min="15110" max="15110" width="12.125" style="1503" customWidth="1"/>
    <col min="15111" max="15111" width="13.125" style="1503" customWidth="1"/>
    <col min="15112" max="15112" width="12.625" style="1503" customWidth="1"/>
    <col min="15113" max="15361" width="9" style="1503"/>
    <col min="15362" max="15362" width="4.875" style="1503" customWidth="1"/>
    <col min="15363" max="15363" width="13.375" style="1503" customWidth="1"/>
    <col min="15364" max="15364" width="42.125" style="1503" customWidth="1"/>
    <col min="15365" max="15365" width="12.375" style="1503" customWidth="1"/>
    <col min="15366" max="15366" width="12.125" style="1503" customWidth="1"/>
    <col min="15367" max="15367" width="13.125" style="1503" customWidth="1"/>
    <col min="15368" max="15368" width="12.625" style="1503" customWidth="1"/>
    <col min="15369" max="15617" width="9" style="1503"/>
    <col min="15618" max="15618" width="4.875" style="1503" customWidth="1"/>
    <col min="15619" max="15619" width="13.375" style="1503" customWidth="1"/>
    <col min="15620" max="15620" width="42.125" style="1503" customWidth="1"/>
    <col min="15621" max="15621" width="12.375" style="1503" customWidth="1"/>
    <col min="15622" max="15622" width="12.125" style="1503" customWidth="1"/>
    <col min="15623" max="15623" width="13.125" style="1503" customWidth="1"/>
    <col min="15624" max="15624" width="12.625" style="1503" customWidth="1"/>
    <col min="15625" max="15873" width="9" style="1503"/>
    <col min="15874" max="15874" width="4.875" style="1503" customWidth="1"/>
    <col min="15875" max="15875" width="13.375" style="1503" customWidth="1"/>
    <col min="15876" max="15876" width="42.125" style="1503" customWidth="1"/>
    <col min="15877" max="15877" width="12.375" style="1503" customWidth="1"/>
    <col min="15878" max="15878" width="12.125" style="1503" customWidth="1"/>
    <col min="15879" max="15879" width="13.125" style="1503" customWidth="1"/>
    <col min="15880" max="15880" width="12.625" style="1503" customWidth="1"/>
    <col min="15881" max="16129" width="9" style="1503"/>
    <col min="16130" max="16130" width="4.875" style="1503" customWidth="1"/>
    <col min="16131" max="16131" width="13.375" style="1503" customWidth="1"/>
    <col min="16132" max="16132" width="42.125" style="1503" customWidth="1"/>
    <col min="16133" max="16133" width="12.375" style="1503" customWidth="1"/>
    <col min="16134" max="16134" width="12.125" style="1503" customWidth="1"/>
    <col min="16135" max="16135" width="13.125" style="1503" customWidth="1"/>
    <col min="16136" max="16136" width="12.625" style="1503" customWidth="1"/>
    <col min="16137" max="16384" width="9" style="1503"/>
  </cols>
  <sheetData>
    <row r="2" spans="2:11" s="1144" customFormat="1" ht="20.25" x14ac:dyDescent="0.3">
      <c r="B2" s="1657" t="s">
        <v>1230</v>
      </c>
      <c r="E2" s="1658"/>
      <c r="F2" s="1146"/>
      <c r="G2" s="1146"/>
      <c r="K2" s="1147"/>
    </row>
    <row r="3" spans="2:11" s="1144" customFormat="1" ht="18" x14ac:dyDescent="0.25">
      <c r="B3" s="1659" t="s">
        <v>896</v>
      </c>
      <c r="E3" s="1658"/>
      <c r="F3" s="1146"/>
      <c r="G3" s="1146"/>
      <c r="K3" s="1147"/>
    </row>
    <row r="4" spans="2:11" s="1144" customFormat="1" ht="14.25" x14ac:dyDescent="0.2">
      <c r="F4" s="1146"/>
      <c r="G4" s="1146"/>
      <c r="K4" s="1147"/>
    </row>
    <row r="5" spans="2:11" s="1187" customFormat="1" ht="21" customHeight="1" x14ac:dyDescent="0.2">
      <c r="B5" s="1686">
        <v>1</v>
      </c>
      <c r="C5" s="1343" t="s">
        <v>609</v>
      </c>
      <c r="D5" s="1687"/>
      <c r="E5" s="1344"/>
      <c r="F5" s="1346"/>
      <c r="G5" s="1346"/>
      <c r="H5" s="1688"/>
      <c r="K5" s="1185"/>
    </row>
    <row r="6" spans="2:11" s="1198" customFormat="1" x14ac:dyDescent="0.2">
      <c r="B6" s="1271"/>
      <c r="C6" s="3093" t="s">
        <v>1036</v>
      </c>
      <c r="D6" s="3094"/>
      <c r="E6" s="3116"/>
      <c r="F6" s="1536" t="s">
        <v>821</v>
      </c>
      <c r="G6" s="1537" t="s">
        <v>639</v>
      </c>
      <c r="H6" s="1538" t="s">
        <v>639</v>
      </c>
      <c r="K6" s="1196"/>
    </row>
    <row r="7" spans="2:11" s="1209" customFormat="1" x14ac:dyDescent="0.2">
      <c r="B7" s="1311"/>
      <c r="C7" s="1655"/>
      <c r="D7" s="1689"/>
      <c r="E7" s="1586"/>
      <c r="F7" s="1569"/>
      <c r="G7" s="1569" t="s">
        <v>641</v>
      </c>
      <c r="H7" s="1570" t="s">
        <v>510</v>
      </c>
      <c r="K7" s="1207"/>
    </row>
    <row r="8" spans="2:11" s="1209" customFormat="1" x14ac:dyDescent="0.2">
      <c r="B8" s="1199"/>
      <c r="C8" s="1644"/>
      <c r="D8" s="1645"/>
      <c r="E8" s="1581"/>
      <c r="F8" s="1320"/>
      <c r="G8" s="1320"/>
      <c r="H8" s="1321"/>
      <c r="K8" s="1207"/>
    </row>
    <row r="9" spans="2:11" s="1217" customFormat="1" x14ac:dyDescent="0.2">
      <c r="B9" s="1690"/>
      <c r="C9" s="1691" t="s">
        <v>743</v>
      </c>
      <c r="D9" s="3040"/>
      <c r="E9" s="3041"/>
      <c r="F9" s="1692">
        <v>22.5</v>
      </c>
      <c r="G9" s="1426">
        <f>IF(D9&lt;&gt;"",F9,0)</f>
        <v>0</v>
      </c>
      <c r="H9" s="1390">
        <f>G9/15</f>
        <v>0</v>
      </c>
      <c r="K9" s="1216"/>
    </row>
    <row r="10" spans="2:11" s="1217" customFormat="1" x14ac:dyDescent="0.2">
      <c r="B10" s="1690"/>
      <c r="C10" s="1691" t="s">
        <v>744</v>
      </c>
      <c r="D10" s="3040"/>
      <c r="E10" s="3041"/>
      <c r="F10" s="1692">
        <v>22.5</v>
      </c>
      <c r="G10" s="1426">
        <f>IF(D10&lt;&gt;"",F10,0)</f>
        <v>0</v>
      </c>
      <c r="H10" s="1390">
        <f>G10/15</f>
        <v>0</v>
      </c>
      <c r="K10" s="1216"/>
    </row>
    <row r="11" spans="2:11" s="1217" customFormat="1" x14ac:dyDescent="0.2">
      <c r="B11" s="1693"/>
      <c r="C11" s="1694"/>
      <c r="D11" s="1328"/>
      <c r="E11" s="1543"/>
      <c r="F11" s="1329" t="s">
        <v>456</v>
      </c>
      <c r="G11" s="1282">
        <f>SUM(G9:G10)</f>
        <v>0</v>
      </c>
      <c r="H11" s="1283">
        <f>SUM(H9:H10)</f>
        <v>0</v>
      </c>
      <c r="K11" s="1216"/>
    </row>
    <row r="12" spans="2:11" s="1304" customFormat="1" x14ac:dyDescent="0.2">
      <c r="B12" s="1550"/>
      <c r="C12" s="1546"/>
      <c r="D12" s="1547"/>
      <c r="E12" s="1548"/>
      <c r="F12" s="1550"/>
      <c r="G12" s="1551"/>
      <c r="H12" s="1551"/>
      <c r="K12" s="1302"/>
    </row>
    <row r="13" spans="2:11" s="1304" customFormat="1" x14ac:dyDescent="0.2">
      <c r="B13" s="1556"/>
      <c r="C13" s="1552"/>
      <c r="D13" s="1553"/>
      <c r="E13" s="1554"/>
      <c r="F13" s="1556"/>
      <c r="G13" s="1557"/>
      <c r="H13" s="1557"/>
      <c r="K13" s="1302"/>
    </row>
    <row r="14" spans="2:11" s="1187" customFormat="1" ht="21" customHeight="1" x14ac:dyDescent="0.2">
      <c r="B14" s="1686">
        <v>2</v>
      </c>
      <c r="C14" s="1343" t="s">
        <v>610</v>
      </c>
      <c r="D14" s="1687"/>
      <c r="E14" s="1344"/>
      <c r="F14" s="1346"/>
      <c r="G14" s="1346"/>
      <c r="H14" s="1688"/>
      <c r="K14" s="1185"/>
    </row>
    <row r="15" spans="2:11" s="1198" customFormat="1" x14ac:dyDescent="0.2">
      <c r="B15" s="1271"/>
      <c r="C15" s="1523"/>
      <c r="D15" s="1695"/>
      <c r="E15" s="1471" t="s">
        <v>449</v>
      </c>
      <c r="F15" s="1536" t="s">
        <v>821</v>
      </c>
      <c r="G15" s="1537" t="s">
        <v>639</v>
      </c>
      <c r="H15" s="1538" t="s">
        <v>639</v>
      </c>
      <c r="K15" s="1196"/>
    </row>
    <row r="16" spans="2:11" s="1209" customFormat="1" x14ac:dyDescent="0.2">
      <c r="B16" s="1199"/>
      <c r="C16" s="1644"/>
      <c r="D16" s="1646"/>
      <c r="E16" s="1201" t="s">
        <v>640</v>
      </c>
      <c r="F16" s="1320"/>
      <c r="G16" s="1320" t="s">
        <v>641</v>
      </c>
      <c r="H16" s="1321" t="s">
        <v>510</v>
      </c>
      <c r="K16" s="1207"/>
    </row>
    <row r="17" spans="2:11" s="1231" customFormat="1" ht="27" customHeight="1" x14ac:dyDescent="0.25">
      <c r="B17" s="1696"/>
      <c r="C17" s="1697" t="s">
        <v>1037</v>
      </c>
      <c r="D17" s="1698"/>
      <c r="E17" s="1699">
        <v>50</v>
      </c>
      <c r="F17" s="1700" t="s">
        <v>32</v>
      </c>
      <c r="G17" s="1700">
        <v>15</v>
      </c>
      <c r="H17" s="1701">
        <f>IF(E17&lt;&gt;"",1,0)</f>
        <v>1</v>
      </c>
      <c r="K17" s="1230"/>
    </row>
    <row r="18" spans="2:11" s="1304" customFormat="1" x14ac:dyDescent="0.2">
      <c r="B18" s="1550"/>
      <c r="C18" s="1546"/>
      <c r="D18" s="1547"/>
      <c r="E18" s="1548"/>
      <c r="F18" s="1550"/>
      <c r="G18" s="1551"/>
      <c r="H18" s="1551"/>
      <c r="K18" s="1302"/>
    </row>
    <row r="19" spans="2:11" s="1304" customFormat="1" x14ac:dyDescent="0.2">
      <c r="B19" s="1556"/>
      <c r="C19" s="1552"/>
      <c r="D19" s="1553"/>
      <c r="E19" s="1554"/>
      <c r="F19" s="1556"/>
      <c r="G19" s="1557"/>
      <c r="H19" s="1557"/>
      <c r="K19" s="1302"/>
    </row>
    <row r="20" spans="2:11" s="1187" customFormat="1" ht="21" customHeight="1" x14ac:dyDescent="0.2">
      <c r="B20" s="1686">
        <v>3</v>
      </c>
      <c r="C20" s="1702" t="s">
        <v>611</v>
      </c>
      <c r="D20" s="1687"/>
      <c r="E20" s="1344"/>
      <c r="F20" s="1346"/>
      <c r="G20" s="1346"/>
      <c r="H20" s="1688"/>
      <c r="K20" s="1185"/>
    </row>
    <row r="21" spans="2:11" s="1198" customFormat="1" x14ac:dyDescent="0.2">
      <c r="B21" s="1269"/>
      <c r="C21" s="1272"/>
      <c r="D21" s="1272" t="s">
        <v>922</v>
      </c>
      <c r="E21" s="1471" t="s">
        <v>1038</v>
      </c>
      <c r="F21" s="1536" t="s">
        <v>821</v>
      </c>
      <c r="G21" s="1537" t="s">
        <v>639</v>
      </c>
      <c r="H21" s="1538" t="s">
        <v>639</v>
      </c>
      <c r="K21" s="1196"/>
    </row>
    <row r="22" spans="2:11" s="1209" customFormat="1" x14ac:dyDescent="0.2">
      <c r="B22" s="1703"/>
      <c r="C22" s="1704"/>
      <c r="D22" s="1704"/>
      <c r="E22" s="1201" t="s">
        <v>1039</v>
      </c>
      <c r="F22" s="1320"/>
      <c r="G22" s="1320" t="s">
        <v>641</v>
      </c>
      <c r="H22" s="1321" t="s">
        <v>510</v>
      </c>
      <c r="K22" s="1207"/>
    </row>
    <row r="23" spans="2:11" s="1217" customFormat="1" ht="15" customHeight="1" x14ac:dyDescent="0.25">
      <c r="B23" s="1705"/>
      <c r="C23" s="1706"/>
      <c r="D23" s="1707" t="s">
        <v>1040</v>
      </c>
      <c r="E23" s="1708"/>
      <c r="F23" s="1684"/>
      <c r="G23" s="1684"/>
      <c r="H23" s="1685"/>
      <c r="K23" s="1216"/>
    </row>
    <row r="24" spans="2:11" s="1217" customFormat="1" x14ac:dyDescent="0.2">
      <c r="B24" s="1690"/>
      <c r="C24" s="1691" t="s">
        <v>1041</v>
      </c>
      <c r="D24" s="1675" t="s">
        <v>1322</v>
      </c>
      <c r="E24" s="1558">
        <v>2</v>
      </c>
      <c r="F24" s="1541">
        <v>1</v>
      </c>
      <c r="G24" s="1426">
        <f t="shared" ref="G24:G43" si="0">E24*F24</f>
        <v>2</v>
      </c>
      <c r="H24" s="1390">
        <f t="shared" ref="H24:H43" si="1">G24/15</f>
        <v>0.13333333333333333</v>
      </c>
      <c r="K24" s="1216"/>
    </row>
    <row r="25" spans="2:11" s="1217" customFormat="1" x14ac:dyDescent="0.2">
      <c r="B25" s="1690"/>
      <c r="C25" s="1691" t="s">
        <v>1042</v>
      </c>
      <c r="D25" s="1675" t="s">
        <v>1323</v>
      </c>
      <c r="E25" s="1558">
        <v>4</v>
      </c>
      <c r="F25" s="1541">
        <v>1</v>
      </c>
      <c r="G25" s="1426">
        <f t="shared" si="0"/>
        <v>4</v>
      </c>
      <c r="H25" s="1390">
        <f t="shared" si="1"/>
        <v>0.26666666666666666</v>
      </c>
      <c r="K25" s="1216"/>
    </row>
    <row r="26" spans="2:11" s="1217" customFormat="1" x14ac:dyDescent="0.2">
      <c r="B26" s="1690"/>
      <c r="C26" s="1691" t="s">
        <v>1043</v>
      </c>
      <c r="D26" s="1675" t="s">
        <v>1324</v>
      </c>
      <c r="E26" s="1558">
        <v>3</v>
      </c>
      <c r="F26" s="1541">
        <v>1</v>
      </c>
      <c r="G26" s="1426">
        <f t="shared" si="0"/>
        <v>3</v>
      </c>
      <c r="H26" s="1390">
        <f t="shared" si="1"/>
        <v>0.2</v>
      </c>
      <c r="K26" s="1216"/>
    </row>
    <row r="27" spans="2:11" s="1217" customFormat="1" x14ac:dyDescent="0.2">
      <c r="B27" s="1690"/>
      <c r="C27" s="1691" t="s">
        <v>1044</v>
      </c>
      <c r="D27" s="1675" t="s">
        <v>1325</v>
      </c>
      <c r="E27" s="1558">
        <v>3</v>
      </c>
      <c r="F27" s="1541">
        <v>1</v>
      </c>
      <c r="G27" s="1426">
        <f t="shared" si="0"/>
        <v>3</v>
      </c>
      <c r="H27" s="1390">
        <f t="shared" si="1"/>
        <v>0.2</v>
      </c>
      <c r="K27" s="1216"/>
    </row>
    <row r="28" spans="2:11" s="1217" customFormat="1" x14ac:dyDescent="0.2">
      <c r="B28" s="1690"/>
      <c r="C28" s="1691" t="s">
        <v>1045</v>
      </c>
      <c r="D28" s="1675" t="s">
        <v>1326</v>
      </c>
      <c r="E28" s="1558">
        <v>3</v>
      </c>
      <c r="F28" s="1541">
        <v>1</v>
      </c>
      <c r="G28" s="1426">
        <f t="shared" si="0"/>
        <v>3</v>
      </c>
      <c r="H28" s="1390">
        <f t="shared" si="1"/>
        <v>0.2</v>
      </c>
      <c r="K28" s="1216"/>
    </row>
    <row r="29" spans="2:11" s="1217" customFormat="1" x14ac:dyDescent="0.2">
      <c r="B29" s="1690"/>
      <c r="C29" s="1691" t="s">
        <v>1046</v>
      </c>
      <c r="D29" s="1675"/>
      <c r="E29" s="1558"/>
      <c r="F29" s="1541">
        <v>1</v>
      </c>
      <c r="G29" s="1426">
        <f t="shared" si="0"/>
        <v>0</v>
      </c>
      <c r="H29" s="1390">
        <f t="shared" si="1"/>
        <v>0</v>
      </c>
      <c r="K29" s="1216"/>
    </row>
    <row r="30" spans="2:11" s="1217" customFormat="1" x14ac:dyDescent="0.2">
      <c r="B30" s="1690"/>
      <c r="C30" s="1691" t="s">
        <v>1047</v>
      </c>
      <c r="D30" s="1675"/>
      <c r="E30" s="1558"/>
      <c r="F30" s="1541">
        <v>1</v>
      </c>
      <c r="G30" s="1426">
        <f t="shared" si="0"/>
        <v>0</v>
      </c>
      <c r="H30" s="1390">
        <f t="shared" si="1"/>
        <v>0</v>
      </c>
      <c r="K30" s="1216"/>
    </row>
    <row r="31" spans="2:11" s="1217" customFormat="1" x14ac:dyDescent="0.2">
      <c r="B31" s="1690"/>
      <c r="C31" s="1691" t="s">
        <v>1048</v>
      </c>
      <c r="D31" s="1675"/>
      <c r="E31" s="1558"/>
      <c r="F31" s="1541">
        <v>1</v>
      </c>
      <c r="G31" s="1426">
        <f t="shared" si="0"/>
        <v>0</v>
      </c>
      <c r="H31" s="1390">
        <f t="shared" si="1"/>
        <v>0</v>
      </c>
      <c r="K31" s="1216"/>
    </row>
    <row r="32" spans="2:11" s="1217" customFormat="1" x14ac:dyDescent="0.2">
      <c r="B32" s="1690"/>
      <c r="C32" s="1691" t="s">
        <v>1049</v>
      </c>
      <c r="D32" s="1675"/>
      <c r="E32" s="1558"/>
      <c r="F32" s="1541">
        <v>1</v>
      </c>
      <c r="G32" s="1426">
        <f t="shared" si="0"/>
        <v>0</v>
      </c>
      <c r="H32" s="1390">
        <f t="shared" si="1"/>
        <v>0</v>
      </c>
      <c r="K32" s="1216"/>
    </row>
    <row r="33" spans="2:11" s="1217" customFormat="1" x14ac:dyDescent="0.2">
      <c r="B33" s="1690"/>
      <c r="C33" s="1691" t="s">
        <v>1050</v>
      </c>
      <c r="D33" s="1675"/>
      <c r="E33" s="1558"/>
      <c r="F33" s="1541">
        <v>1</v>
      </c>
      <c r="G33" s="1426">
        <f t="shared" si="0"/>
        <v>0</v>
      </c>
      <c r="H33" s="1390">
        <f t="shared" si="1"/>
        <v>0</v>
      </c>
      <c r="K33" s="1216"/>
    </row>
    <row r="34" spans="2:11" s="1217" customFormat="1" x14ac:dyDescent="0.2">
      <c r="B34" s="1690"/>
      <c r="C34" s="1691" t="s">
        <v>1051</v>
      </c>
      <c r="D34" s="1675"/>
      <c r="E34" s="1558"/>
      <c r="F34" s="1541">
        <v>1</v>
      </c>
      <c r="G34" s="1426">
        <f t="shared" si="0"/>
        <v>0</v>
      </c>
      <c r="H34" s="1390">
        <f t="shared" si="1"/>
        <v>0</v>
      </c>
      <c r="K34" s="1216"/>
    </row>
    <row r="35" spans="2:11" s="1217" customFormat="1" x14ac:dyDescent="0.2">
      <c r="B35" s="1690"/>
      <c r="C35" s="1691" t="s">
        <v>1052</v>
      </c>
      <c r="D35" s="1675"/>
      <c r="E35" s="1558"/>
      <c r="F35" s="1541">
        <v>1</v>
      </c>
      <c r="G35" s="1426">
        <f t="shared" si="0"/>
        <v>0</v>
      </c>
      <c r="H35" s="1390">
        <f t="shared" si="1"/>
        <v>0</v>
      </c>
      <c r="K35" s="1216"/>
    </row>
    <row r="36" spans="2:11" s="1217" customFormat="1" x14ac:dyDescent="0.2">
      <c r="B36" s="1690"/>
      <c r="C36" s="1691" t="s">
        <v>1053</v>
      </c>
      <c r="D36" s="1675"/>
      <c r="E36" s="1558"/>
      <c r="F36" s="1541">
        <v>1</v>
      </c>
      <c r="G36" s="1426">
        <f t="shared" si="0"/>
        <v>0</v>
      </c>
      <c r="H36" s="1390">
        <f t="shared" si="1"/>
        <v>0</v>
      </c>
      <c r="K36" s="1216"/>
    </row>
    <row r="37" spans="2:11" s="1217" customFormat="1" x14ac:dyDescent="0.2">
      <c r="B37" s="1690"/>
      <c r="C37" s="1691" t="s">
        <v>1054</v>
      </c>
      <c r="D37" s="1675"/>
      <c r="E37" s="1558"/>
      <c r="F37" s="1541">
        <v>1</v>
      </c>
      <c r="G37" s="1426">
        <f t="shared" si="0"/>
        <v>0</v>
      </c>
      <c r="H37" s="1390">
        <f t="shared" si="1"/>
        <v>0</v>
      </c>
      <c r="K37" s="1216"/>
    </row>
    <row r="38" spans="2:11" s="1217" customFormat="1" x14ac:dyDescent="0.2">
      <c r="B38" s="1690"/>
      <c r="C38" s="1691" t="s">
        <v>1055</v>
      </c>
      <c r="D38" s="1675"/>
      <c r="E38" s="1558"/>
      <c r="F38" s="1541">
        <v>1</v>
      </c>
      <c r="G38" s="1426">
        <f t="shared" si="0"/>
        <v>0</v>
      </c>
      <c r="H38" s="1390">
        <f t="shared" si="1"/>
        <v>0</v>
      </c>
      <c r="K38" s="1216"/>
    </row>
    <row r="39" spans="2:11" s="1217" customFormat="1" hidden="1" x14ac:dyDescent="0.2">
      <c r="B39" s="1690"/>
      <c r="C39" s="1691" t="s">
        <v>1056</v>
      </c>
      <c r="D39" s="1679"/>
      <c r="E39" s="1681"/>
      <c r="F39" s="1541">
        <v>1</v>
      </c>
      <c r="G39" s="1426">
        <f t="shared" si="0"/>
        <v>0</v>
      </c>
      <c r="H39" s="1390">
        <f t="shared" si="1"/>
        <v>0</v>
      </c>
      <c r="K39" s="1216"/>
    </row>
    <row r="40" spans="2:11" s="1217" customFormat="1" hidden="1" x14ac:dyDescent="0.2">
      <c r="B40" s="1690"/>
      <c r="C40" s="1691" t="s">
        <v>1057</v>
      </c>
      <c r="D40" s="1679"/>
      <c r="E40" s="1681"/>
      <c r="F40" s="1541">
        <v>1</v>
      </c>
      <c r="G40" s="1426">
        <f t="shared" si="0"/>
        <v>0</v>
      </c>
      <c r="H40" s="1390">
        <f t="shared" si="1"/>
        <v>0</v>
      </c>
      <c r="K40" s="1216"/>
    </row>
    <row r="41" spans="2:11" s="1217" customFormat="1" hidden="1" x14ac:dyDescent="0.2">
      <c r="B41" s="1690"/>
      <c r="C41" s="1691" t="s">
        <v>1058</v>
      </c>
      <c r="D41" s="1679"/>
      <c r="E41" s="1681"/>
      <c r="F41" s="1541">
        <v>1</v>
      </c>
      <c r="G41" s="1426">
        <f t="shared" si="0"/>
        <v>0</v>
      </c>
      <c r="H41" s="1390">
        <f t="shared" si="1"/>
        <v>0</v>
      </c>
      <c r="K41" s="1216"/>
    </row>
    <row r="42" spans="2:11" s="1217" customFormat="1" hidden="1" x14ac:dyDescent="0.2">
      <c r="B42" s="1690"/>
      <c r="C42" s="1691" t="s">
        <v>1059</v>
      </c>
      <c r="D42" s="1679"/>
      <c r="E42" s="1681"/>
      <c r="F42" s="1541">
        <v>1</v>
      </c>
      <c r="G42" s="1426">
        <f t="shared" si="0"/>
        <v>0</v>
      </c>
      <c r="H42" s="1390">
        <f t="shared" si="1"/>
        <v>0</v>
      </c>
      <c r="K42" s="1216"/>
    </row>
    <row r="43" spans="2:11" s="1217" customFormat="1" hidden="1" x14ac:dyDescent="0.2">
      <c r="B43" s="1709"/>
      <c r="C43" s="1691" t="s">
        <v>1060</v>
      </c>
      <c r="D43" s="1679"/>
      <c r="E43" s="1681"/>
      <c r="F43" s="1541">
        <v>1</v>
      </c>
      <c r="G43" s="1426">
        <f t="shared" si="0"/>
        <v>0</v>
      </c>
      <c r="H43" s="1390">
        <f t="shared" si="1"/>
        <v>0</v>
      </c>
      <c r="K43" s="1216"/>
    </row>
    <row r="44" spans="2:11" s="1217" customFormat="1" x14ac:dyDescent="0.2">
      <c r="B44" s="1693"/>
      <c r="C44" s="1639"/>
      <c r="D44" s="1640"/>
      <c r="E44" s="1543"/>
      <c r="F44" s="1329" t="s">
        <v>456</v>
      </c>
      <c r="G44" s="1282">
        <f>SUM(G24:G38)</f>
        <v>15</v>
      </c>
      <c r="H44" s="1283">
        <f>SUM(H24:H38)</f>
        <v>1</v>
      </c>
      <c r="K44" s="1216"/>
    </row>
    <row r="45" spans="2:11" s="1217" customFormat="1" x14ac:dyDescent="0.2">
      <c r="B45" s="1710"/>
      <c r="C45" s="1711"/>
      <c r="D45" s="1712" t="s">
        <v>1061</v>
      </c>
      <c r="E45" s="1671"/>
      <c r="F45" s="1713"/>
      <c r="G45" s="1714"/>
      <c r="H45" s="1715"/>
      <c r="K45" s="1216"/>
    </row>
    <row r="46" spans="2:11" s="1217" customFormat="1" x14ac:dyDescent="0.2">
      <c r="B46" s="1690"/>
      <c r="C46" s="1691" t="s">
        <v>1041</v>
      </c>
      <c r="D46" s="1675"/>
      <c r="E46" s="1558"/>
      <c r="F46" s="1692">
        <v>1.3</v>
      </c>
      <c r="G46" s="1426">
        <f t="shared" ref="G46:G55" si="2">E46*F46</f>
        <v>0</v>
      </c>
      <c r="H46" s="1390">
        <f t="shared" ref="H46:H55" si="3">G46/15</f>
        <v>0</v>
      </c>
      <c r="K46" s="1216"/>
    </row>
    <row r="47" spans="2:11" s="1217" customFormat="1" x14ac:dyDescent="0.2">
      <c r="B47" s="1690"/>
      <c r="C47" s="1691" t="s">
        <v>1042</v>
      </c>
      <c r="D47" s="1675"/>
      <c r="E47" s="1558"/>
      <c r="F47" s="1692">
        <v>1.3</v>
      </c>
      <c r="G47" s="1426">
        <f t="shared" si="2"/>
        <v>0</v>
      </c>
      <c r="H47" s="1390">
        <f t="shared" si="3"/>
        <v>0</v>
      </c>
      <c r="K47" s="1216"/>
    </row>
    <row r="48" spans="2:11" s="1217" customFormat="1" x14ac:dyDescent="0.2">
      <c r="B48" s="1690"/>
      <c r="C48" s="1691" t="s">
        <v>1043</v>
      </c>
      <c r="D48" s="1675"/>
      <c r="E48" s="1558"/>
      <c r="F48" s="1692">
        <v>1.3</v>
      </c>
      <c r="G48" s="1426">
        <f t="shared" si="2"/>
        <v>0</v>
      </c>
      <c r="H48" s="1390">
        <f t="shared" si="3"/>
        <v>0</v>
      </c>
      <c r="K48" s="1216"/>
    </row>
    <row r="49" spans="2:11" s="1217" customFormat="1" x14ac:dyDescent="0.2">
      <c r="B49" s="1690"/>
      <c r="C49" s="1691" t="s">
        <v>1044</v>
      </c>
      <c r="D49" s="1675"/>
      <c r="E49" s="1558"/>
      <c r="F49" s="1692">
        <v>1.3</v>
      </c>
      <c r="G49" s="1426">
        <f t="shared" si="2"/>
        <v>0</v>
      </c>
      <c r="H49" s="1390">
        <f t="shared" si="3"/>
        <v>0</v>
      </c>
      <c r="K49" s="1216"/>
    </row>
    <row r="50" spans="2:11" s="1217" customFormat="1" x14ac:dyDescent="0.2">
      <c r="B50" s="1690"/>
      <c r="C50" s="1691" t="s">
        <v>1045</v>
      </c>
      <c r="D50" s="1675"/>
      <c r="E50" s="1558"/>
      <c r="F50" s="1692">
        <v>1.3</v>
      </c>
      <c r="G50" s="1426">
        <f t="shared" si="2"/>
        <v>0</v>
      </c>
      <c r="H50" s="1390">
        <f t="shared" si="3"/>
        <v>0</v>
      </c>
      <c r="K50" s="1216"/>
    </row>
    <row r="51" spans="2:11" s="1217" customFormat="1" x14ac:dyDescent="0.2">
      <c r="B51" s="1690"/>
      <c r="C51" s="1691" t="s">
        <v>1046</v>
      </c>
      <c r="D51" s="1675"/>
      <c r="E51" s="1558"/>
      <c r="F51" s="1692">
        <v>1.3</v>
      </c>
      <c r="G51" s="1426">
        <f t="shared" si="2"/>
        <v>0</v>
      </c>
      <c r="H51" s="1390">
        <f t="shared" si="3"/>
        <v>0</v>
      </c>
      <c r="K51" s="1216"/>
    </row>
    <row r="52" spans="2:11" s="1217" customFormat="1" x14ac:dyDescent="0.2">
      <c r="B52" s="1690"/>
      <c r="C52" s="1691" t="s">
        <v>1047</v>
      </c>
      <c r="D52" s="1675"/>
      <c r="E52" s="1558"/>
      <c r="F52" s="1692">
        <v>1.3</v>
      </c>
      <c r="G52" s="1426">
        <f t="shared" si="2"/>
        <v>0</v>
      </c>
      <c r="H52" s="1390">
        <f t="shared" si="3"/>
        <v>0</v>
      </c>
      <c r="K52" s="1216"/>
    </row>
    <row r="53" spans="2:11" s="1217" customFormat="1" x14ac:dyDescent="0.2">
      <c r="B53" s="1690"/>
      <c r="C53" s="1691" t="s">
        <v>1048</v>
      </c>
      <c r="D53" s="1675"/>
      <c r="E53" s="1558"/>
      <c r="F53" s="1692">
        <v>1.3</v>
      </c>
      <c r="G53" s="1426">
        <f t="shared" si="2"/>
        <v>0</v>
      </c>
      <c r="H53" s="1390">
        <f t="shared" si="3"/>
        <v>0</v>
      </c>
      <c r="K53" s="1216"/>
    </row>
    <row r="54" spans="2:11" s="1217" customFormat="1" x14ac:dyDescent="0.2">
      <c r="B54" s="1690"/>
      <c r="C54" s="1691" t="s">
        <v>1049</v>
      </c>
      <c r="D54" s="1675"/>
      <c r="E54" s="1558"/>
      <c r="F54" s="1692">
        <v>1.3</v>
      </c>
      <c r="G54" s="1426">
        <f t="shared" si="2"/>
        <v>0</v>
      </c>
      <c r="H54" s="1390">
        <f t="shared" si="3"/>
        <v>0</v>
      </c>
      <c r="K54" s="1216"/>
    </row>
    <row r="55" spans="2:11" s="1217" customFormat="1" x14ac:dyDescent="0.2">
      <c r="B55" s="1709"/>
      <c r="C55" s="1691" t="s">
        <v>1050</v>
      </c>
      <c r="D55" s="1675"/>
      <c r="E55" s="1558"/>
      <c r="F55" s="1692">
        <v>1.3</v>
      </c>
      <c r="G55" s="1426">
        <f t="shared" si="2"/>
        <v>0</v>
      </c>
      <c r="H55" s="1390">
        <f t="shared" si="3"/>
        <v>0</v>
      </c>
      <c r="K55" s="1216"/>
    </row>
    <row r="56" spans="2:11" s="1217" customFormat="1" x14ac:dyDescent="0.2">
      <c r="B56" s="1693"/>
      <c r="C56" s="1716"/>
      <c r="D56" s="1640"/>
      <c r="E56" s="1543"/>
      <c r="F56" s="1329" t="s">
        <v>456</v>
      </c>
      <c r="G56" s="1282">
        <f>SUM(G46:G55)</f>
        <v>0</v>
      </c>
      <c r="H56" s="1283">
        <f>SUM(H46:H55)</f>
        <v>0</v>
      </c>
      <c r="K56" s="1216"/>
    </row>
    <row r="57" spans="2:11" s="1217" customFormat="1" ht="21" customHeight="1" x14ac:dyDescent="0.2">
      <c r="B57" s="1617"/>
      <c r="C57" s="1289"/>
      <c r="D57" s="1717"/>
      <c r="E57" s="1718"/>
      <c r="F57" s="1719" t="s">
        <v>1062</v>
      </c>
      <c r="G57" s="1584">
        <f>G56+G44</f>
        <v>15</v>
      </c>
      <c r="H57" s="1585">
        <f>H56+H44</f>
        <v>1</v>
      </c>
      <c r="K57" s="1216"/>
    </row>
    <row r="58" spans="2:11" s="1304" customFormat="1" x14ac:dyDescent="0.2">
      <c r="B58" s="1550"/>
      <c r="C58" s="1546"/>
      <c r="D58" s="1547"/>
      <c r="E58" s="1548"/>
      <c r="F58" s="1550"/>
      <c r="G58" s="1551"/>
      <c r="H58" s="1551"/>
      <c r="K58" s="1302"/>
    </row>
    <row r="59" spans="2:11" s="1304" customFormat="1" x14ac:dyDescent="0.2">
      <c r="B59" s="1556"/>
      <c r="C59" s="1552"/>
      <c r="D59" s="1553"/>
      <c r="E59" s="1554"/>
      <c r="F59" s="1556"/>
      <c r="G59" s="1557"/>
      <c r="H59" s="1557"/>
      <c r="K59" s="1302"/>
    </row>
    <row r="60" spans="2:11" s="1144" customFormat="1" ht="21" customHeight="1" x14ac:dyDescent="0.2">
      <c r="B60" s="1686">
        <v>4</v>
      </c>
      <c r="C60" s="1702" t="s">
        <v>612</v>
      </c>
      <c r="D60" s="1687"/>
      <c r="E60" s="1344"/>
      <c r="F60" s="1346"/>
      <c r="G60" s="1346"/>
      <c r="H60" s="1688"/>
      <c r="K60" s="1147"/>
    </row>
    <row r="61" spans="2:11" s="1198" customFormat="1" x14ac:dyDescent="0.2">
      <c r="B61" s="1271"/>
      <c r="C61" s="1272"/>
      <c r="D61" s="1523" t="s">
        <v>687</v>
      </c>
      <c r="E61" s="1272" t="s">
        <v>1063</v>
      </c>
      <c r="F61" s="1536" t="s">
        <v>821</v>
      </c>
      <c r="G61" s="1537" t="s">
        <v>639</v>
      </c>
      <c r="H61" s="1538" t="s">
        <v>639</v>
      </c>
      <c r="K61" s="1196"/>
    </row>
    <row r="62" spans="2:11" s="1209" customFormat="1" x14ac:dyDescent="0.2">
      <c r="B62" s="1311"/>
      <c r="C62" s="1720"/>
      <c r="D62" s="1655"/>
      <c r="E62" s="1194" t="s">
        <v>1064</v>
      </c>
      <c r="F62" s="1569"/>
      <c r="G62" s="1569" t="s">
        <v>641</v>
      </c>
      <c r="H62" s="1570" t="s">
        <v>510</v>
      </c>
      <c r="K62" s="1207"/>
    </row>
    <row r="63" spans="2:11" s="1209" customFormat="1" x14ac:dyDescent="0.2">
      <c r="B63" s="1311"/>
      <c r="C63" s="1720"/>
      <c r="D63" s="1655"/>
      <c r="E63" s="1591"/>
      <c r="F63" s="1569"/>
      <c r="G63" s="1569"/>
      <c r="H63" s="1570"/>
      <c r="K63" s="1207"/>
    </row>
    <row r="64" spans="2:11" s="1209" customFormat="1" x14ac:dyDescent="0.2">
      <c r="B64" s="1199"/>
      <c r="C64" s="1704"/>
      <c r="D64" s="1644"/>
      <c r="E64" s="1368"/>
      <c r="F64" s="1320"/>
      <c r="G64" s="1320"/>
      <c r="H64" s="1321"/>
      <c r="K64" s="1207"/>
    </row>
    <row r="65" spans="2:11" s="1217" customFormat="1" x14ac:dyDescent="0.2">
      <c r="B65" s="1690"/>
      <c r="C65" s="1706"/>
      <c r="D65" s="1721" t="s">
        <v>1065</v>
      </c>
      <c r="E65" s="1683"/>
      <c r="F65" s="1722"/>
      <c r="G65" s="1723"/>
      <c r="H65" s="1724"/>
      <c r="K65" s="1216"/>
    </row>
    <row r="66" spans="2:11" s="1217" customFormat="1" x14ac:dyDescent="0.2">
      <c r="B66" s="1690"/>
      <c r="C66" s="1691" t="s">
        <v>915</v>
      </c>
      <c r="D66" s="2122" t="s">
        <v>1319</v>
      </c>
      <c r="E66" s="1558">
        <v>16</v>
      </c>
      <c r="F66" s="1541">
        <v>10</v>
      </c>
      <c r="G66" s="1426">
        <f>IF(D66&lt;&gt;"",F66,0)</f>
        <v>10</v>
      </c>
      <c r="H66" s="1390">
        <f t="shared" ref="H66:H75" si="4">G66/15</f>
        <v>0.66666666666666663</v>
      </c>
      <c r="K66" s="1216"/>
    </row>
    <row r="67" spans="2:11" s="1217" customFormat="1" x14ac:dyDescent="0.2">
      <c r="B67" s="1690"/>
      <c r="C67" s="1691" t="s">
        <v>916</v>
      </c>
      <c r="D67" s="2122" t="s">
        <v>1320</v>
      </c>
      <c r="E67" s="1558">
        <v>1</v>
      </c>
      <c r="F67" s="1541">
        <v>10</v>
      </c>
      <c r="G67" s="1426">
        <f t="shared" ref="G67:G75" si="5">IF(D67&lt;&gt;"",F67,0)</f>
        <v>10</v>
      </c>
      <c r="H67" s="1390">
        <f t="shared" si="4"/>
        <v>0.66666666666666663</v>
      </c>
      <c r="K67" s="1216"/>
    </row>
    <row r="68" spans="2:11" s="1217" customFormat="1" x14ac:dyDescent="0.2">
      <c r="B68" s="1690"/>
      <c r="C68" s="1691" t="s">
        <v>917</v>
      </c>
      <c r="D68" s="1675"/>
      <c r="E68" s="1558"/>
      <c r="F68" s="1541">
        <v>10</v>
      </c>
      <c r="G68" s="1426">
        <f t="shared" si="5"/>
        <v>0</v>
      </c>
      <c r="H68" s="1390">
        <f t="shared" si="4"/>
        <v>0</v>
      </c>
      <c r="K68" s="1216"/>
    </row>
    <row r="69" spans="2:11" s="1217" customFormat="1" x14ac:dyDescent="0.2">
      <c r="B69" s="1690"/>
      <c r="C69" s="1691" t="s">
        <v>918</v>
      </c>
      <c r="D69" s="1524"/>
      <c r="E69" s="1558"/>
      <c r="F69" s="1541">
        <v>10</v>
      </c>
      <c r="G69" s="1426">
        <f t="shared" si="5"/>
        <v>0</v>
      </c>
      <c r="H69" s="1390">
        <f t="shared" si="4"/>
        <v>0</v>
      </c>
      <c r="K69" s="1216"/>
    </row>
    <row r="70" spans="2:11" s="1217" customFormat="1" x14ac:dyDescent="0.2">
      <c r="B70" s="1690"/>
      <c r="C70" s="1691" t="s">
        <v>919</v>
      </c>
      <c r="D70" s="1524"/>
      <c r="E70" s="1558"/>
      <c r="F70" s="1541">
        <v>10</v>
      </c>
      <c r="G70" s="1426">
        <f t="shared" si="5"/>
        <v>0</v>
      </c>
      <c r="H70" s="1390">
        <f t="shared" si="4"/>
        <v>0</v>
      </c>
      <c r="K70" s="1216"/>
    </row>
    <row r="71" spans="2:11" s="1217" customFormat="1" x14ac:dyDescent="0.2">
      <c r="B71" s="1690"/>
      <c r="C71" s="1691" t="s">
        <v>1019</v>
      </c>
      <c r="D71" s="1524"/>
      <c r="E71" s="1558"/>
      <c r="F71" s="1541">
        <v>10</v>
      </c>
      <c r="G71" s="1426">
        <f t="shared" si="5"/>
        <v>0</v>
      </c>
      <c r="H71" s="1390">
        <f t="shared" si="4"/>
        <v>0</v>
      </c>
      <c r="K71" s="1216"/>
    </row>
    <row r="72" spans="2:11" s="1217" customFormat="1" x14ac:dyDescent="0.2">
      <c r="B72" s="1690"/>
      <c r="C72" s="1691" t="s">
        <v>1020</v>
      </c>
      <c r="D72" s="1524"/>
      <c r="E72" s="1558"/>
      <c r="F72" s="1541">
        <v>10</v>
      </c>
      <c r="G72" s="1426">
        <f t="shared" si="5"/>
        <v>0</v>
      </c>
      <c r="H72" s="1390">
        <f t="shared" si="4"/>
        <v>0</v>
      </c>
      <c r="K72" s="1216"/>
    </row>
    <row r="73" spans="2:11" s="1217" customFormat="1" x14ac:dyDescent="0.2">
      <c r="B73" s="1690"/>
      <c r="C73" s="1691" t="s">
        <v>1021</v>
      </c>
      <c r="D73" s="1524"/>
      <c r="E73" s="1558"/>
      <c r="F73" s="1541">
        <v>10</v>
      </c>
      <c r="G73" s="1426">
        <f t="shared" si="5"/>
        <v>0</v>
      </c>
      <c r="H73" s="1390">
        <f t="shared" si="4"/>
        <v>0</v>
      </c>
      <c r="K73" s="1216"/>
    </row>
    <row r="74" spans="2:11" s="1217" customFormat="1" x14ac:dyDescent="0.2">
      <c r="B74" s="1690"/>
      <c r="C74" s="1691" t="s">
        <v>1022</v>
      </c>
      <c r="D74" s="1524"/>
      <c r="E74" s="1558"/>
      <c r="F74" s="1541">
        <v>10</v>
      </c>
      <c r="G74" s="1426">
        <f t="shared" si="5"/>
        <v>0</v>
      </c>
      <c r="H74" s="1390">
        <f t="shared" si="4"/>
        <v>0</v>
      </c>
      <c r="K74" s="1216"/>
    </row>
    <row r="75" spans="2:11" s="1217" customFormat="1" x14ac:dyDescent="0.2">
      <c r="B75" s="1709"/>
      <c r="C75" s="1691" t="s">
        <v>1023</v>
      </c>
      <c r="D75" s="1524"/>
      <c r="E75" s="1558"/>
      <c r="F75" s="1541">
        <v>10</v>
      </c>
      <c r="G75" s="1426">
        <f t="shared" si="5"/>
        <v>0</v>
      </c>
      <c r="H75" s="1390">
        <f t="shared" si="4"/>
        <v>0</v>
      </c>
      <c r="K75" s="1216"/>
    </row>
    <row r="76" spans="2:11" s="1217" customFormat="1" x14ac:dyDescent="0.2">
      <c r="B76" s="1693"/>
      <c r="C76" s="1716"/>
      <c r="D76" s="1640"/>
      <c r="E76" s="1543"/>
      <c r="F76" s="1329" t="s">
        <v>456</v>
      </c>
      <c r="G76" s="1282">
        <f>SUM(G66:G75)</f>
        <v>20</v>
      </c>
      <c r="H76" s="1283">
        <f>SUM(H66:H75)</f>
        <v>1.3333333333333333</v>
      </c>
      <c r="K76" s="1216"/>
    </row>
    <row r="77" spans="2:11" s="1217" customFormat="1" x14ac:dyDescent="0.2">
      <c r="B77" s="1690"/>
      <c r="C77" s="1711"/>
      <c r="D77" s="1725" t="s">
        <v>1066</v>
      </c>
      <c r="E77" s="1671"/>
      <c r="F77" s="1713"/>
      <c r="G77" s="1714"/>
      <c r="H77" s="1715"/>
      <c r="K77" s="1216"/>
    </row>
    <row r="78" spans="2:11" s="1217" customFormat="1" x14ac:dyDescent="0.2">
      <c r="B78" s="1690"/>
      <c r="C78" s="1691" t="s">
        <v>915</v>
      </c>
      <c r="D78" s="2122" t="s">
        <v>1319</v>
      </c>
      <c r="E78" s="1558">
        <v>16</v>
      </c>
      <c r="F78" s="1541">
        <v>3</v>
      </c>
      <c r="G78" s="1426">
        <f>IF(D78&lt;&gt;"",F78,0)</f>
        <v>3</v>
      </c>
      <c r="H78" s="1390">
        <f t="shared" ref="H78:H87" si="6">G78/15</f>
        <v>0.2</v>
      </c>
      <c r="K78" s="1216"/>
    </row>
    <row r="79" spans="2:11" s="1217" customFormat="1" x14ac:dyDescent="0.2">
      <c r="B79" s="1690"/>
      <c r="C79" s="1691" t="s">
        <v>916</v>
      </c>
      <c r="D79" s="2122" t="s">
        <v>1320</v>
      </c>
      <c r="E79" s="1558">
        <v>1</v>
      </c>
      <c r="F79" s="1541">
        <v>3</v>
      </c>
      <c r="G79" s="1426">
        <f t="shared" ref="G79:G87" si="7">IF(D79&lt;&gt;"",F79,0)</f>
        <v>3</v>
      </c>
      <c r="H79" s="1390">
        <f t="shared" si="6"/>
        <v>0.2</v>
      </c>
      <c r="K79" s="1216"/>
    </row>
    <row r="80" spans="2:11" s="1217" customFormat="1" x14ac:dyDescent="0.2">
      <c r="B80" s="1690"/>
      <c r="C80" s="1691" t="s">
        <v>917</v>
      </c>
      <c r="D80" s="1524"/>
      <c r="E80" s="1558"/>
      <c r="F80" s="1541">
        <v>3</v>
      </c>
      <c r="G80" s="1426">
        <f t="shared" si="7"/>
        <v>0</v>
      </c>
      <c r="H80" s="1390">
        <f t="shared" si="6"/>
        <v>0</v>
      </c>
      <c r="K80" s="1216"/>
    </row>
    <row r="81" spans="2:11" s="1217" customFormat="1" x14ac:dyDescent="0.2">
      <c r="B81" s="1690"/>
      <c r="C81" s="1691" t="s">
        <v>918</v>
      </c>
      <c r="D81" s="1524"/>
      <c r="E81" s="1558"/>
      <c r="F81" s="1541">
        <v>3</v>
      </c>
      <c r="G81" s="1426">
        <f t="shared" si="7"/>
        <v>0</v>
      </c>
      <c r="H81" s="1390">
        <f t="shared" si="6"/>
        <v>0</v>
      </c>
      <c r="K81" s="1216"/>
    </row>
    <row r="82" spans="2:11" s="1217" customFormat="1" x14ac:dyDescent="0.2">
      <c r="B82" s="1690"/>
      <c r="C82" s="1691" t="s">
        <v>919</v>
      </c>
      <c r="D82" s="1524"/>
      <c r="E82" s="1558"/>
      <c r="F82" s="1541">
        <v>3</v>
      </c>
      <c r="G82" s="1426">
        <f t="shared" si="7"/>
        <v>0</v>
      </c>
      <c r="H82" s="1390">
        <f t="shared" si="6"/>
        <v>0</v>
      </c>
      <c r="K82" s="1216"/>
    </row>
    <row r="83" spans="2:11" s="1217" customFormat="1" x14ac:dyDescent="0.2">
      <c r="B83" s="1690"/>
      <c r="C83" s="1691" t="s">
        <v>1019</v>
      </c>
      <c r="D83" s="1524"/>
      <c r="E83" s="1558"/>
      <c r="F83" s="1541">
        <v>3</v>
      </c>
      <c r="G83" s="1426">
        <f t="shared" si="7"/>
        <v>0</v>
      </c>
      <c r="H83" s="1390">
        <f t="shared" si="6"/>
        <v>0</v>
      </c>
      <c r="K83" s="1216"/>
    </row>
    <row r="84" spans="2:11" s="1217" customFormat="1" x14ac:dyDescent="0.2">
      <c r="B84" s="1690"/>
      <c r="C84" s="1691" t="s">
        <v>1020</v>
      </c>
      <c r="D84" s="1524"/>
      <c r="E84" s="1558"/>
      <c r="F84" s="1541">
        <v>3</v>
      </c>
      <c r="G84" s="1426">
        <f t="shared" si="7"/>
        <v>0</v>
      </c>
      <c r="H84" s="1390">
        <f t="shared" si="6"/>
        <v>0</v>
      </c>
      <c r="K84" s="1216"/>
    </row>
    <row r="85" spans="2:11" s="1217" customFormat="1" x14ac:dyDescent="0.2">
      <c r="B85" s="1690"/>
      <c r="C85" s="1691" t="s">
        <v>1021</v>
      </c>
      <c r="D85" s="1524"/>
      <c r="E85" s="1558"/>
      <c r="F85" s="1541">
        <v>3</v>
      </c>
      <c r="G85" s="1426">
        <f t="shared" si="7"/>
        <v>0</v>
      </c>
      <c r="H85" s="1390">
        <f t="shared" si="6"/>
        <v>0</v>
      </c>
      <c r="K85" s="1216"/>
    </row>
    <row r="86" spans="2:11" s="1217" customFormat="1" x14ac:dyDescent="0.2">
      <c r="B86" s="1690"/>
      <c r="C86" s="1691" t="s">
        <v>1022</v>
      </c>
      <c r="D86" s="1524"/>
      <c r="E86" s="1558"/>
      <c r="F86" s="1541">
        <v>3</v>
      </c>
      <c r="G86" s="1426">
        <f t="shared" si="7"/>
        <v>0</v>
      </c>
      <c r="H86" s="1390">
        <f t="shared" si="6"/>
        <v>0</v>
      </c>
      <c r="K86" s="1216"/>
    </row>
    <row r="87" spans="2:11" s="1217" customFormat="1" x14ac:dyDescent="0.2">
      <c r="B87" s="1709"/>
      <c r="C87" s="1691" t="s">
        <v>1023</v>
      </c>
      <c r="D87" s="1524"/>
      <c r="E87" s="1558"/>
      <c r="F87" s="1541">
        <v>3</v>
      </c>
      <c r="G87" s="1426">
        <f t="shared" si="7"/>
        <v>0</v>
      </c>
      <c r="H87" s="1390">
        <f t="shared" si="6"/>
        <v>0</v>
      </c>
      <c r="K87" s="1216"/>
    </row>
    <row r="88" spans="2:11" s="1217" customFormat="1" x14ac:dyDescent="0.2">
      <c r="B88" s="1693"/>
      <c r="C88" s="1716"/>
      <c r="D88" s="1680"/>
      <c r="E88" s="1726"/>
      <c r="F88" s="1329" t="s">
        <v>456</v>
      </c>
      <c r="G88" s="1282">
        <f>SUM(G78:G87)</f>
        <v>6</v>
      </c>
      <c r="H88" s="1283">
        <f>SUM(H78:H87)</f>
        <v>0.4</v>
      </c>
      <c r="K88" s="1216"/>
    </row>
    <row r="89" spans="2:11" s="1217" customFormat="1" ht="21" customHeight="1" x14ac:dyDescent="0.2">
      <c r="B89" s="1617"/>
      <c r="C89" s="1289"/>
      <c r="D89" s="1717"/>
      <c r="E89" s="1727"/>
      <c r="F89" s="1728" t="s">
        <v>1067</v>
      </c>
      <c r="G89" s="1584">
        <f>G88+G76</f>
        <v>26</v>
      </c>
      <c r="H89" s="1585">
        <f>H88+H76</f>
        <v>1.7333333333333334</v>
      </c>
      <c r="K89" s="1216"/>
    </row>
    <row r="90" spans="2:11" s="1304" customFormat="1" x14ac:dyDescent="0.2">
      <c r="B90" s="1334"/>
      <c r="C90" s="1335"/>
      <c r="D90" s="1336"/>
      <c r="E90" s="1732"/>
      <c r="F90" s="1334"/>
      <c r="G90" s="1339"/>
      <c r="H90" s="1339"/>
      <c r="K90" s="1302"/>
    </row>
    <row r="91" spans="2:11" s="1304" customFormat="1" x14ac:dyDescent="0.2">
      <c r="B91" s="1334"/>
      <c r="C91" s="1335"/>
      <c r="D91" s="1336"/>
      <c r="E91" s="1732"/>
      <c r="F91" s="1334"/>
      <c r="G91" s="1339"/>
      <c r="H91" s="1339"/>
      <c r="K91" s="1302"/>
    </row>
    <row r="92" spans="2:11" s="1144" customFormat="1" ht="21" customHeight="1" x14ac:dyDescent="0.2">
      <c r="B92" s="1686">
        <v>5</v>
      </c>
      <c r="C92" s="1702" t="s">
        <v>613</v>
      </c>
      <c r="D92" s="1687"/>
      <c r="E92" s="1344"/>
      <c r="F92" s="1346"/>
      <c r="G92" s="1346"/>
      <c r="H92" s="1688"/>
      <c r="K92" s="1147"/>
    </row>
    <row r="93" spans="2:11" s="1198" customFormat="1" x14ac:dyDescent="0.2">
      <c r="B93" s="1271"/>
      <c r="C93" s="1272"/>
      <c r="D93" s="1272" t="s">
        <v>14</v>
      </c>
      <c r="E93" s="1471" t="s">
        <v>1068</v>
      </c>
      <c r="F93" s="1536" t="s">
        <v>821</v>
      </c>
      <c r="G93" s="1537" t="s">
        <v>639</v>
      </c>
      <c r="H93" s="1538" t="s">
        <v>639</v>
      </c>
      <c r="K93" s="1196"/>
    </row>
    <row r="94" spans="2:11" s="1209" customFormat="1" x14ac:dyDescent="0.2">
      <c r="B94" s="1199"/>
      <c r="C94" s="1704"/>
      <c r="D94" s="1704"/>
      <c r="E94" s="1201"/>
      <c r="F94" s="1320"/>
      <c r="G94" s="1320" t="s">
        <v>641</v>
      </c>
      <c r="H94" s="1321" t="s">
        <v>510</v>
      </c>
      <c r="K94" s="1207"/>
    </row>
    <row r="95" spans="2:11" s="1217" customFormat="1" x14ac:dyDescent="0.2">
      <c r="B95" s="1729"/>
      <c r="C95" s="1730" t="s">
        <v>743</v>
      </c>
      <c r="D95" s="1675" t="s">
        <v>1321</v>
      </c>
      <c r="E95" s="1558">
        <v>1</v>
      </c>
      <c r="F95" s="1541">
        <v>1</v>
      </c>
      <c r="G95" s="1426">
        <f>F95*E95</f>
        <v>1</v>
      </c>
      <c r="H95" s="1390">
        <f>G95/15</f>
        <v>6.6666666666666666E-2</v>
      </c>
      <c r="K95" s="1216"/>
    </row>
    <row r="96" spans="2:11" s="1217" customFormat="1" x14ac:dyDescent="0.2">
      <c r="B96" s="1690"/>
      <c r="C96" s="1730" t="s">
        <v>744</v>
      </c>
      <c r="D96" s="1675"/>
      <c r="E96" s="1558"/>
      <c r="F96" s="1541">
        <v>1</v>
      </c>
      <c r="G96" s="1426">
        <f>F96*E96</f>
        <v>0</v>
      </c>
      <c r="H96" s="1390">
        <f>G96/15</f>
        <v>0</v>
      </c>
      <c r="K96" s="1216"/>
    </row>
    <row r="97" spans="2:11" s="1217" customFormat="1" x14ac:dyDescent="0.2">
      <c r="B97" s="1690"/>
      <c r="C97" s="1730" t="s">
        <v>745</v>
      </c>
      <c r="D97" s="1675"/>
      <c r="E97" s="1558"/>
      <c r="F97" s="1541">
        <v>1</v>
      </c>
      <c r="G97" s="1426">
        <f>F97*E97</f>
        <v>0</v>
      </c>
      <c r="H97" s="1390">
        <f>G97/15</f>
        <v>0</v>
      </c>
      <c r="K97" s="1216"/>
    </row>
    <row r="98" spans="2:11" s="1217" customFormat="1" x14ac:dyDescent="0.2">
      <c r="B98" s="1690"/>
      <c r="C98" s="1730" t="s">
        <v>746</v>
      </c>
      <c r="D98" s="1675"/>
      <c r="E98" s="1558"/>
      <c r="F98" s="1541">
        <v>1</v>
      </c>
      <c r="G98" s="1426">
        <f>F98*E98</f>
        <v>0</v>
      </c>
      <c r="H98" s="1390">
        <f>G98/15</f>
        <v>0</v>
      </c>
      <c r="K98" s="1216"/>
    </row>
    <row r="99" spans="2:11" s="1217" customFormat="1" x14ac:dyDescent="0.2">
      <c r="B99" s="1709"/>
      <c r="C99" s="1730" t="s">
        <v>747</v>
      </c>
      <c r="D99" s="1675"/>
      <c r="E99" s="1558"/>
      <c r="F99" s="1541">
        <v>1</v>
      </c>
      <c r="G99" s="1426">
        <f>F99*E99</f>
        <v>0</v>
      </c>
      <c r="H99" s="1390">
        <f>G99/15</f>
        <v>0</v>
      </c>
      <c r="K99" s="1216"/>
    </row>
    <row r="100" spans="2:11" s="1217" customFormat="1" x14ac:dyDescent="0.2">
      <c r="B100" s="1693"/>
      <c r="C100" s="1694"/>
      <c r="D100" s="1328"/>
      <c r="E100" s="1543"/>
      <c r="F100" s="1731" t="s">
        <v>456</v>
      </c>
      <c r="G100" s="1282">
        <f>SUM(G95:G99)</f>
        <v>1</v>
      </c>
      <c r="H100" s="1283">
        <f>SUM(H95:H99)</f>
        <v>6.6666666666666666E-2</v>
      </c>
      <c r="K100" s="1216"/>
    </row>
    <row r="101" spans="2:11" s="1304" customFormat="1" x14ac:dyDescent="0.2">
      <c r="B101" s="1334"/>
      <c r="C101" s="1335"/>
      <c r="D101" s="1336"/>
      <c r="E101" s="1732"/>
      <c r="F101" s="1337"/>
      <c r="G101" s="1339"/>
      <c r="H101" s="1339"/>
      <c r="K101" s="1302"/>
    </row>
    <row r="102" spans="2:11" x14ac:dyDescent="0.2">
      <c r="H102" s="1733"/>
    </row>
    <row r="103" spans="2:11" ht="18" hidden="1" x14ac:dyDescent="0.2">
      <c r="B103" s="1686">
        <v>6</v>
      </c>
      <c r="C103" s="1702" t="s">
        <v>1069</v>
      </c>
      <c r="D103" s="1702"/>
      <c r="E103" s="1702"/>
      <c r="F103" s="1702"/>
      <c r="G103" s="1734"/>
      <c r="H103" s="1735"/>
    </row>
    <row r="104" spans="2:11" hidden="1" x14ac:dyDescent="0.2">
      <c r="B104" s="1271"/>
      <c r="C104" s="1272"/>
      <c r="D104" s="1272" t="s">
        <v>1070</v>
      </c>
      <c r="E104" s="1471" t="s">
        <v>733</v>
      </c>
      <c r="F104" s="1736" t="s">
        <v>821</v>
      </c>
      <c r="G104" s="1538" t="s">
        <v>1071</v>
      </c>
      <c r="H104" s="1737"/>
    </row>
    <row r="105" spans="2:11" hidden="1" x14ac:dyDescent="0.2">
      <c r="B105" s="1199"/>
      <c r="C105" s="1704"/>
      <c r="D105" s="1704"/>
      <c r="E105" s="1201"/>
      <c r="F105" s="1370"/>
      <c r="G105" s="1321" t="s">
        <v>1072</v>
      </c>
      <c r="H105" s="1737"/>
    </row>
    <row r="106" spans="2:11" hidden="1" x14ac:dyDescent="0.2">
      <c r="B106" s="1729"/>
      <c r="C106" s="1730" t="s">
        <v>1073</v>
      </c>
      <c r="D106" s="1679" t="s">
        <v>1074</v>
      </c>
      <c r="E106" s="1681"/>
      <c r="F106" s="1738">
        <v>1</v>
      </c>
      <c r="G106" s="1739">
        <f>IF(K106=TRUE,1,0)</f>
        <v>0</v>
      </c>
      <c r="H106" s="1740"/>
    </row>
    <row r="107" spans="2:11" hidden="1" x14ac:dyDescent="0.2">
      <c r="B107" s="1690"/>
      <c r="C107" s="1730" t="s">
        <v>1075</v>
      </c>
      <c r="D107" s="1679" t="s">
        <v>1076</v>
      </c>
      <c r="E107" s="1681"/>
      <c r="F107" s="1738">
        <v>1</v>
      </c>
      <c r="G107" s="1739">
        <f t="shared" ref="G107:G112" si="8">IF(K107=TRUE,1,0)</f>
        <v>0</v>
      </c>
      <c r="H107" s="1740"/>
    </row>
    <row r="108" spans="2:11" hidden="1" x14ac:dyDescent="0.2">
      <c r="B108" s="1690"/>
      <c r="C108" s="1730" t="s">
        <v>1077</v>
      </c>
      <c r="D108" s="1679" t="s">
        <v>640</v>
      </c>
      <c r="E108" s="1681"/>
      <c r="F108" s="1738">
        <v>1</v>
      </c>
      <c r="G108" s="1739">
        <f t="shared" si="8"/>
        <v>0</v>
      </c>
      <c r="H108" s="1740"/>
    </row>
    <row r="109" spans="2:11" hidden="1" x14ac:dyDescent="0.2">
      <c r="B109" s="1690"/>
      <c r="C109" s="1730" t="s">
        <v>1078</v>
      </c>
      <c r="D109" s="1679" t="s">
        <v>118</v>
      </c>
      <c r="E109" s="1681"/>
      <c r="F109" s="1738">
        <v>1</v>
      </c>
      <c r="G109" s="1739">
        <f t="shared" si="8"/>
        <v>0</v>
      </c>
      <c r="H109" s="1740"/>
    </row>
    <row r="110" spans="2:11" hidden="1" x14ac:dyDescent="0.2">
      <c r="B110" s="1690"/>
      <c r="C110" s="1730" t="s">
        <v>1079</v>
      </c>
      <c r="D110" s="1679" t="s">
        <v>1080</v>
      </c>
      <c r="E110" s="1681"/>
      <c r="F110" s="1738">
        <v>1</v>
      </c>
      <c r="G110" s="1739">
        <f t="shared" si="8"/>
        <v>0</v>
      </c>
      <c r="H110" s="1740"/>
    </row>
    <row r="111" spans="2:11" hidden="1" x14ac:dyDescent="0.2">
      <c r="B111" s="1690"/>
      <c r="C111" s="1730" t="s">
        <v>1081</v>
      </c>
      <c r="D111" s="1679" t="s">
        <v>1082</v>
      </c>
      <c r="E111" s="1681"/>
      <c r="F111" s="1738">
        <v>1</v>
      </c>
      <c r="G111" s="1739">
        <f t="shared" si="8"/>
        <v>0</v>
      </c>
      <c r="H111" s="1740"/>
    </row>
    <row r="112" spans="2:11" hidden="1" x14ac:dyDescent="0.2">
      <c r="B112" s="1709"/>
      <c r="C112" s="1730" t="s">
        <v>1083</v>
      </c>
      <c r="D112" s="1679" t="s">
        <v>1084</v>
      </c>
      <c r="E112" s="1681"/>
      <c r="F112" s="1738">
        <v>1</v>
      </c>
      <c r="G112" s="1739">
        <f t="shared" si="8"/>
        <v>0</v>
      </c>
      <c r="H112" s="1740"/>
    </row>
    <row r="113" spans="2:8" hidden="1" x14ac:dyDescent="0.2">
      <c r="B113" s="1693"/>
      <c r="C113" s="1694"/>
      <c r="D113" s="1328"/>
      <c r="E113" s="1328"/>
      <c r="F113" s="1329" t="s">
        <v>456</v>
      </c>
      <c r="G113" s="1741">
        <f>SUM(G106:G112)</f>
        <v>0</v>
      </c>
      <c r="H113" s="1339"/>
    </row>
    <row r="114" spans="2:8" hidden="1" x14ac:dyDescent="0.2">
      <c r="H114" s="1733"/>
    </row>
  </sheetData>
  <sheetProtection password="DC56" sheet="1" objects="1" scenarios="1"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25</vt:i4>
      </vt:variant>
    </vt:vector>
  </HeadingPairs>
  <TitlesOfParts>
    <vt:vector size="37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คำชี้แจง!Print_Titles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Windows User</cp:lastModifiedBy>
  <cp:lastPrinted>2018-09-27T09:26:12Z</cp:lastPrinted>
  <dcterms:created xsi:type="dcterms:W3CDTF">2017-12-20T03:05:08Z</dcterms:created>
  <dcterms:modified xsi:type="dcterms:W3CDTF">2018-10-01T04:51:07Z</dcterms:modified>
</cp:coreProperties>
</file>